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6.xml.rels" ContentType="application/vnd.openxmlformats-package.relationships+xml"/>
  <Override PartName="/xl/worksheets/_rels/sheet5.xml.rels" ContentType="application/vnd.openxmlformats-package.relationships+xml"/>
  <Override PartName="/xl/worksheets/_rels/sheet4.xml.rels" ContentType="application/vnd.openxmlformats-package.relationships+xml"/>
  <Override PartName="/xl/worksheets/_rels/sheet3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art Here" sheetId="1" state="visible" r:id="rId3"/>
    <sheet name="Setup" sheetId="2" state="visible" r:id="rId4"/>
    <sheet name="Bookings" sheetId="3" state="visible" r:id="rId5"/>
    <sheet name="Day Board" sheetId="4" state="visible" r:id="rId6"/>
    <sheet name="Room Week" sheetId="5" state="visible" r:id="rId7"/>
    <sheet name="Dashboard" sheetId="6" state="visible" r:id="rId8"/>
    <sheet name="Lists" sheetId="7" state="hidden" r:id="rId9"/>
  </sheets>
  <definedNames>
    <definedName function="false" hidden="false" name="BkAtt" vbProcedure="false">Bookings!$H$9:$H$208</definedName>
    <definedName function="false" hidden="false" name="BkDate" vbProcedure="false">Bookings!$B$9:$B$208</definedName>
    <definedName function="false" hidden="false" name="BkEnd" vbProcedure="false">Bookings!$E$9:$E$208</definedName>
    <definedName function="false" hidden="false" name="BkEndMin" vbProcedure="false">Lists!$AB$9:$AB$208</definedName>
    <definedName function="false" hidden="false" name="BkFit" vbProcedure="false">Bookings!$L$9:$L$208</definedName>
    <definedName function="false" hidden="false" name="BkHours" vbProcedure="false">Bookings!$J$9:$J$208</definedName>
    <definedName function="false" hidden="false" name="BkRoom" vbProcedure="false">Bookings!$C$9:$C$208</definedName>
    <definedName function="false" hidden="false" name="BkSeats" vbProcedure="false">Lists!$Z$9:$Z$208</definedName>
    <definedName function="false" hidden="false" name="BkShow" vbProcedure="false">Bookings!$I$9:$I$208</definedName>
    <definedName function="false" hidden="false" name="BkStart" vbProcedure="false">Bookings!$D$9:$D$208</definedName>
    <definedName function="false" hidden="false" name="BkStartMin" vbProcedure="false">Lists!$AA$9:$AA$208</definedName>
    <definedName function="false" hidden="false" name="BkStatus" vbProcedure="false">Bookings!$K$9:$K$208</definedName>
    <definedName function="false" hidden="false" name="BkWho" vbProcedure="false">Bookings!$F$9:$F$208</definedName>
    <definedName function="false" hidden="false" name="BookableHours" vbProcedure="false">Setup!$D$12</definedName>
    <definedName function="false" hidden="false" name="BookingDates" vbProcedure="false">Lists!$B$2:$K$2</definedName>
    <definedName function="false" hidden="false" name="CompanyName" vbProcedure="false">Setup!$D$6</definedName>
    <definedName function="false" hidden="false" name="DayEnd" vbProcedure="false">Setup!$D$9</definedName>
    <definedName function="false" hidden="false" name="DayStart" vbProcedure="false">Setup!$D$8</definedName>
    <definedName function="false" hidden="false" name="PeopleList" vbProcedure="false">Setup!$I$16:$I$45</definedName>
    <definedName function="false" hidden="false" name="RoomFloor" vbProcedure="false">Setup!$D$16:$D$27</definedName>
    <definedName function="false" hidden="false" name="RoomKit" vbProcedure="false">Setup!$F$16:$F$27</definedName>
    <definedName function="false" hidden="false" name="RoomList" vbProcedure="false">Setup!$C$16:$C$27</definedName>
    <definedName function="false" hidden="false" name="RoomSeats" vbProcedure="false">Setup!$E$16:$E$27</definedName>
    <definedName function="false" hidden="false" name="ScheduleStart" vbProcedure="false">Setup!$D$7</definedName>
    <definedName function="false" hidden="false" name="SelDate" vbProcedure="false">'Day Board'!$D$5</definedName>
    <definedName function="false" hidden="false" name="SelRoom" vbProcedure="false">'Room Week'!$D$5</definedName>
    <definedName function="false" hidden="false" name="SlotTimes" vbProcedure="false">Lists!$A$3:$A$18</definedName>
    <definedName function="false" hidden="false" name="TeamList" vbProcedure="false">Setup!$J$16:$J$45</definedName>
    <definedName function="false" hidden="false" name="TotalPeople" vbProcedure="false">Setup!$D$11</definedName>
    <definedName function="false" hidden="false" name="TotalRooms" vbProcedure="false">Setup!$D$10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<sst xmlns="http://schemas.openxmlformats.org/spreadsheetml/2006/main" count="692" uniqueCount="232">
  <si>
    <t xml:space="preserve">Meeting Room Booking Template</t>
  </si>
  <si>
    <t xml:space="preserve">A free 2-week room schedule with conflict checks and utilisation reporting  ·  2026 edition  ·  by OfficeRnD</t>
  </si>
  <si>
    <t xml:space="preserve">Built for Microsoft Excel  ·  Save your own copy before you start</t>
  </si>
  <si>
    <t xml:space="preserve">  WHAT'S INSIDE</t>
  </si>
  <si>
    <t xml:space="preserve">Setup</t>
  </si>
  <si>
    <t xml:space="preserve">Your rooms, their capacity and your people. Every other tab reads from here.</t>
  </si>
  <si>
    <t xml:space="preserve">Bookings</t>
  </si>
  <si>
    <t xml:space="preserve">The booking log — one row per meeting. Clashes are flagged as you type.</t>
  </si>
  <si>
    <t xml:space="preserve">Day Board</t>
  </si>
  <si>
    <t xml:space="preserve">Pick a day and see every room, half hour by half hour, and who has it.</t>
  </si>
  <si>
    <t xml:space="preserve">Room Week</t>
  </si>
  <si>
    <t xml:space="preserve">Pick a room and see its whole two weeks in one screen.</t>
  </si>
  <si>
    <t xml:space="preserve">Dashboard</t>
  </si>
  <si>
    <t xml:space="preserve">Utilisation by room, day and time slot, no-show rate, and whether your rooms are the right size.</t>
  </si>
  <si>
    <t xml:space="preserve">  SET IT UP IN FOUR STEPS</t>
  </si>
  <si>
    <t xml:space="preserve">1</t>
  </si>
  <si>
    <t xml:space="preserve">Save your own copy, then open Setup: list your rooms, how many people each one seats, and who books them.</t>
  </si>
  <si>
    <t xml:space="preserve">2</t>
  </si>
  <si>
    <t xml:space="preserve">Open Bookings. Add one row per meeting: date, room, start, end, who booked it and how many people are coming.</t>
  </si>
  <si>
    <t xml:space="preserve">3</t>
  </si>
  <si>
    <t xml:space="preserve">Watch the Status column. Conflict means two meetings want the same room at the same time — the Day Board shows you where.</t>
  </si>
  <si>
    <t xml:space="preserve">4</t>
  </si>
  <si>
    <t xml:space="preserve">After each day, mark whether the meeting actually happened, then read the Dashboard.</t>
  </si>
  <si>
    <t xml:space="preserve">READY FOR SOMETHING THAT UPDATES ITSELF?</t>
  </si>
  <si>
    <t xml:space="preserve">OfficeRnD Workplace books the room for you</t>
  </si>
  <si>
    <t xml:space="preserve">Find a room by capacity and equipment on a real floor plan, book it from Outlook, Teams, Google Calendar or Slack, and check in on a room display so rooms nobody turns up to are released automatically — with room-by-room utilisation you can trust and nobody maintaining a spreadsheet.</t>
  </si>
  <si>
    <t xml:space="preserve">►  BOOK A LIVE DEMO</t>
  </si>
  <si>
    <t xml:space="preserve">Explore OfficeRnD Workplace  →</t>
  </si>
  <si>
    <t xml:space="preserve">See it running on your own floor plan — 30 minutes.</t>
  </si>
  <si>
    <t xml:space="preserve">4.6 / 5 on G2 · Leader in Meeting Room Booking.</t>
  </si>
  <si>
    <t xml:space="preserve">Teams like Tide run their hybrid workplace on OfficeRnD.</t>
  </si>
  <si>
    <t xml:space="preserve">  SIGNS YOU'VE OUTGROWN A SPREADSHEET</t>
  </si>
  <si>
    <t xml:space="preserve">•</t>
  </si>
  <si>
    <t xml:space="preserve">More than about 12 rooms, more than one floor, or more than one office in the same file.</t>
  </si>
  <si>
    <t xml:space="preserve">People double-book because they booked before somebody else's row appeared.</t>
  </si>
  <si>
    <t xml:space="preserve">Rooms sit empty because nobody cancels a meeting they no longer need.</t>
  </si>
  <si>
    <t xml:space="preserve">You want months of utilisation history, not a rolling two weeks.</t>
  </si>
  <si>
    <t xml:space="preserve">Desks, parking or visitors need booking alongside the rooms.</t>
  </si>
  <si>
    <t xml:space="preserve">Free to use and share. The sample rooms, people and bookings are dummy data — overwrite them with your own.</t>
  </si>
  <si>
    <t xml:space="preserve">  SETUP</t>
  </si>
  <si>
    <t xml:space="preserve">Fill in the yellow cells and the two tables below. Every other tab updates on its own.</t>
  </si>
  <si>
    <t xml:space="preserve">  1  ·  YOUR SETTINGS</t>
  </si>
  <si>
    <t xml:space="preserve">Rule of thumb: a spreadsheet copes with about 10–12 meeting rooms in one office, and only while everyone remembers to log a booking and cancel it when plans change. Past that, use OfficeRnD Workplace — see the Start Here tab.</t>
  </si>
  <si>
    <t xml:space="preserve">Company or team name</t>
  </si>
  <si>
    <t xml:space="preserve">Acme Corp</t>
  </si>
  <si>
    <t xml:space="preserve">Shown on the Day Board and Dashboard.</t>
  </si>
  <si>
    <t xml:space="preserve">Bookings start (a Monday)</t>
  </si>
  <si>
    <t xml:space="preserve">Defaults to this week's Monday.</t>
  </si>
  <si>
    <t xml:space="preserve">Bookable day starts</t>
  </si>
  <si>
    <t xml:space="preserve">The grids run 16 half-hour slots from here.</t>
  </si>
  <si>
    <t xml:space="preserve">Bookable day ends</t>
  </si>
  <si>
    <t xml:space="preserve">Calculated — 8 hours per room, per day.</t>
  </si>
  <si>
    <t xml:space="preserve">Rooms set up</t>
  </si>
  <si>
    <t xml:space="preserve">Counted from your room list.</t>
  </si>
  <si>
    <t xml:space="preserve">People set up</t>
  </si>
  <si>
    <t xml:space="preserve">Counted from your people list.</t>
  </si>
  <si>
    <t xml:space="preserve">Bookable hours per room, per day</t>
  </si>
  <si>
    <t xml:space="preserve">Drives every utilisation figure.</t>
  </si>
  <si>
    <t xml:space="preserve">  2  ·  YOUR ROOMS   (up to 12)</t>
  </si>
  <si>
    <t xml:space="preserve">  3  ·  YOUR PEOPLE   (up to 30)</t>
  </si>
  <si>
    <t xml:space="preserve">#</t>
  </si>
  <si>
    <t xml:space="preserve">Room name</t>
  </si>
  <si>
    <t xml:space="preserve">Floor / zone</t>
  </si>
  <si>
    <t xml:space="preserve">Seats</t>
  </si>
  <si>
    <t xml:space="preserve">Equipment &amp; notes</t>
  </si>
  <si>
    <t xml:space="preserve">Person</t>
  </si>
  <si>
    <t xml:space="preserve">Team</t>
  </si>
  <si>
    <t xml:space="preserve">Aurora</t>
  </si>
  <si>
    <t xml:space="preserve">Floor 1</t>
  </si>
  <si>
    <t xml:space="preserve">Video conf · Whiteboard</t>
  </si>
  <si>
    <t xml:space="preserve">Ava Mitchell</t>
  </si>
  <si>
    <t xml:space="preserve">Product</t>
  </si>
  <si>
    <t xml:space="preserve">Borealis</t>
  </si>
  <si>
    <t xml:space="preserve">Video conf</t>
  </si>
  <si>
    <t xml:space="preserve">Noah Bennett</t>
  </si>
  <si>
    <t xml:space="preserve">Cirrus</t>
  </si>
  <si>
    <t xml:space="preserve">Whiteboard</t>
  </si>
  <si>
    <t xml:space="preserve">Mia Okafor</t>
  </si>
  <si>
    <t xml:space="preserve">Engineering</t>
  </si>
  <si>
    <t xml:space="preserve">Delta</t>
  </si>
  <si>
    <t xml:space="preserve">Floor 2</t>
  </si>
  <si>
    <t xml:space="preserve">Huddle room</t>
  </si>
  <si>
    <t xml:space="preserve">Liam Novak</t>
  </si>
  <si>
    <t xml:space="preserve">Everest</t>
  </si>
  <si>
    <t xml:space="preserve">Video conf · Catering setup</t>
  </si>
  <si>
    <t xml:space="preserve">Sofia Ramirez</t>
  </si>
  <si>
    <t xml:space="preserve">Fjord</t>
  </si>
  <si>
    <t xml:space="preserve">Focus room · 1-1s</t>
  </si>
  <si>
    <t xml:space="preserve">Ethan Clarke</t>
  </si>
  <si>
    <t xml:space="preserve">Sales</t>
  </si>
  <si>
    <t xml:space="preserve">Isla Petrova</t>
  </si>
  <si>
    <t xml:space="preserve">Jonas Weber</t>
  </si>
  <si>
    <t xml:space="preserve">People Ops</t>
  </si>
  <si>
    <t xml:space="preserve">Priya Nair</t>
  </si>
  <si>
    <t xml:space="preserve">Marketing</t>
  </si>
  <si>
    <t xml:space="preserve">Tom Ashby</t>
  </si>
  <si>
    <t xml:space="preserve">Nadia Haddad</t>
  </si>
  <si>
    <t xml:space="preserve">Marcus Bell</t>
  </si>
  <si>
    <t xml:space="preserve">Yuki Tanaka</t>
  </si>
  <si>
    <t xml:space="preserve">Design</t>
  </si>
  <si>
    <t xml:space="preserve">Blue text = type over it. Seats drives the room right-sizing report on the Dashboard, so fill it in.</t>
  </si>
  <si>
    <t xml:space="preserve">Ravi Menon</t>
  </si>
  <si>
    <t xml:space="preserve">Elena Costa</t>
  </si>
  <si>
    <t xml:space="preserve">Finance</t>
  </si>
  <si>
    <t xml:space="preserve">Omar Farouk</t>
  </si>
  <si>
    <t xml:space="preserve">Support</t>
  </si>
  <si>
    <t xml:space="preserve">Chloe Dubois</t>
  </si>
  <si>
    <t xml:space="preserve">Diego Ferrer</t>
  </si>
  <si>
    <t xml:space="preserve">Hana Kim</t>
  </si>
  <si>
    <t xml:space="preserve">Felix Brandt</t>
  </si>
  <si>
    <t xml:space="preserve">These names fill the dropdowns on the Bookings tab.</t>
  </si>
  <si>
    <t xml:space="preserve">  Still typing meetings into a grid? OfficeRnD Workplace books the room from Outlook, Teams or Google Calendar.</t>
  </si>
  <si>
    <t xml:space="preserve">Book a live demo  →  </t>
  </si>
  <si>
    <t xml:space="preserve">  2-Week Meeting Room Bookings</t>
  </si>
  <si>
    <t xml:space="preserve">One row per meeting. Room, person and date have dropdowns.  </t>
  </si>
  <si>
    <t xml:space="preserve">MEETINGS LOGGED</t>
  </si>
  <si>
    <t xml:space="preserve">HOURS BOOKED</t>
  </si>
  <si>
    <t xml:space="preserve">ROOM UTILISATION</t>
  </si>
  <si>
    <t xml:space="preserve">CLASHES</t>
  </si>
  <si>
    <t xml:space="preserve">NEEDS A LOOK</t>
  </si>
  <si>
    <t xml:space="preserve">NO-SHOWS</t>
  </si>
  <si>
    <t xml:space="preserve">  ADD ONE ROW PER MEETING  —  the blue columns are yours to fill in</t>
  </si>
  <si>
    <t xml:space="preserve">Date</t>
  </si>
  <si>
    <t xml:space="preserve">Room</t>
  </si>
  <si>
    <t xml:space="preserve">Start</t>
  </si>
  <si>
    <t xml:space="preserve">End</t>
  </si>
  <si>
    <t xml:space="preserve">Booked by</t>
  </si>
  <si>
    <t xml:space="preserve">Meeting</t>
  </si>
  <si>
    <t xml:space="preserve">Attendees</t>
  </si>
  <si>
    <t xml:space="preserve">Took place?</t>
  </si>
  <si>
    <t xml:space="preserve">Hours</t>
  </si>
  <si>
    <t xml:space="preserve">Status</t>
  </si>
  <si>
    <t xml:space="preserve">Room fit</t>
  </si>
  <si>
    <t xml:space="preserve">Interview</t>
  </si>
  <si>
    <t xml:space="preserve">Yes</t>
  </si>
  <si>
    <t xml:space="preserve">1-1</t>
  </si>
  <si>
    <t xml:space="preserve">Sprint planning</t>
  </si>
  <si>
    <t xml:space="preserve">Onboarding session</t>
  </si>
  <si>
    <t xml:space="preserve">Retro</t>
  </si>
  <si>
    <t xml:space="preserve">Catch-up</t>
  </si>
  <si>
    <t xml:space="preserve">Vendor demo</t>
  </si>
  <si>
    <t xml:space="preserve">Standup</t>
  </si>
  <si>
    <t xml:space="preserve">Client call</t>
  </si>
  <si>
    <t xml:space="preserve">Budget review</t>
  </si>
  <si>
    <t xml:space="preserve">No-show</t>
  </si>
  <si>
    <t xml:space="preserve">Roadmap workshop</t>
  </si>
  <si>
    <t xml:space="preserve">Pipeline review</t>
  </si>
  <si>
    <t xml:space="preserve">Weekly team sync</t>
  </si>
  <si>
    <t xml:space="preserve">All-hands prep</t>
  </si>
  <si>
    <t xml:space="preserve">Design review</t>
  </si>
  <si>
    <t xml:space="preserve">  Status:  OK = fine  ·  Conflict = another meeting has that room at that time  ·  Check times = the end is not after the start  ·  Outside range = the date is not in your two booking weeks  ·  Unknown room = that room name is not on the Setup tab.</t>
  </si>
  <si>
    <t xml:space="preserve">  Room fit compares attendees with the seats you gave the room on Setup. Oversized room = you booked at least twice the seats you need.</t>
  </si>
  <si>
    <t xml:space="preserve">  Took place? is what makes the no-show number real. Mark it in after the day, not before.</t>
  </si>
  <si>
    <t xml:space="preserve">  Sample data fills rows 9–128. Select those rows and press Delete to start with an empty log — the formulas in columns J, K and L stay put.</t>
  </si>
  <si>
    <t xml:space="preserve">  A board like this, live on a real floor plan — and nobody has to update it. That's OfficeRnD Workplace.</t>
  </si>
  <si>
    <t xml:space="preserve">Show me this day:</t>
  </si>
  <si>
    <t xml:space="preserve">MEETINGS</t>
  </si>
  <si>
    <t xml:space="preserve">UTILISATION</t>
  </si>
  <si>
    <t xml:space="preserve">ROOMS USED</t>
  </si>
  <si>
    <t xml:space="preserve">BUSIEST ROOM</t>
  </si>
  <si>
    <t xml:space="preserve">PEOPLE IN</t>
  </si>
  <si>
    <t xml:space="preserve">  ROOM BOARD  —  who has which room, half hour by half hour</t>
  </si>
  <si>
    <t xml:space="preserve">Time</t>
  </si>
  <si>
    <t xml:space="preserve">  Blue = booked, and the name is who booked it  ·  blank = the room is free  ·  red = two meetings are fighting over it.</t>
  </si>
  <si>
    <t xml:space="preserve">  Rooms and their seat counts come from the Setup tab. Times run from the bookable day start on Setup, in half-hour slots.</t>
  </si>
  <si>
    <t xml:space="preserve">  Rooms that free themselves up when nobody checks in. That's OfficeRnD Workplace.</t>
  </si>
  <si>
    <t xml:space="preserve">Show me this room:</t>
  </si>
  <si>
    <t xml:space="preserve">AVG MEETING</t>
  </si>
  <si>
    <t xml:space="preserve">AVG ATTENDEES</t>
  </si>
  <si>
    <t xml:space="preserve">SEATS</t>
  </si>
  <si>
    <t xml:space="preserve">  ROOM SCHEDULE  —  the selected room, both weeks</t>
  </si>
  <si>
    <t xml:space="preserve">  Blue = booked, and the name is who booked it  ·  blank = free  ·  red = two meetings are fighting over this room.</t>
  </si>
  <si>
    <t xml:space="preserve">  Change the room in the yellow cell above. Weekends are skipped — the ten columns are two working weeks.</t>
  </si>
  <si>
    <t xml:space="preserve">  Real room usage, not what people typed into a sheet. That's OfficeRnD Workplace.</t>
  </si>
  <si>
    <t xml:space="preserve">AVG LENGTH</t>
  </si>
  <si>
    <t xml:space="preserve">NO-SHOW RATE</t>
  </si>
  <si>
    <t xml:space="preserve">CHECK-INS RECORDED</t>
  </si>
  <si>
    <t xml:space="preserve">ROOMS SET UP</t>
  </si>
  <si>
    <t xml:space="preserve">SEATS SET UP</t>
  </si>
  <si>
    <t xml:space="preserve">AVG SEATS BOOKED</t>
  </si>
  <si>
    <t xml:space="preserve">EMPTY SEATS / MEETING</t>
  </si>
  <si>
    <t xml:space="preserve">OVERSIZED BOOKINGS</t>
  </si>
  <si>
    <t xml:space="preserve">BUSIEST WEEKDAY</t>
  </si>
  <si>
    <t xml:space="preserve">  ARE YOUR ROOMS THE RIGHT SIZE?</t>
  </si>
  <si>
    <t xml:space="preserve">Meetings for 1–2 people</t>
  </si>
  <si>
    <t xml:space="preserve">Two people in a room built for eight is the commonest kind of waste.</t>
  </si>
  <si>
    <t xml:space="preserve">Meetings for 3–5 people</t>
  </si>
  <si>
    <t xml:space="preserve">The bulk of most weeks. Count how many rooms you have at this size.</t>
  </si>
  <si>
    <t xml:space="preserve">Meetings for 6 or more</t>
  </si>
  <si>
    <t xml:space="preserve">These are the ones that fail when the big room is taken.</t>
  </si>
  <si>
    <t xml:space="preserve">Much bigger room than needed</t>
  </si>
  <si>
    <t xml:space="preserve">At least double the seats needed, and four or more seats left empty.</t>
  </si>
  <si>
    <t xml:space="preserve">More people than seats</t>
  </si>
  <si>
    <t xml:space="preserve">Someone is standing, or the meeting moved and nobody freed the room.</t>
  </si>
  <si>
    <t xml:space="preserve">Nobody turned up</t>
  </si>
  <si>
    <t xml:space="preserve">Room booked, room empty. This is what check-ins are for.</t>
  </si>
  <si>
    <t xml:space="preserve">  Based on ten working days and on attendee numbers being filled in honestly. Treat it as a direction, not a number to sign a lease on.</t>
  </si>
  <si>
    <t xml:space="preserve">  UTILISATION BY DAY</t>
  </si>
  <si>
    <t xml:space="preserve">Weekday</t>
  </si>
  <si>
    <t xml:space="preserve">Meetings</t>
  </si>
  <si>
    <t xml:space="preserve">Utilisation</t>
  </si>
  <si>
    <t xml:space="preserve">No-shows</t>
  </si>
  <si>
    <t xml:space="preserve">  Utilisation against rooms set up</t>
  </si>
  <si>
    <t xml:space="preserve">TOTALS</t>
  </si>
  <si>
    <t xml:space="preserve">  Hours booked ÷ rooms × bookable hours</t>
  </si>
  <si>
    <t xml:space="preserve">  THE SHAPE OF YOUR WEEK</t>
  </si>
  <si>
    <t xml:space="preserve">  Averaged across both weeks</t>
  </si>
  <si>
    <t xml:space="preserve">Monday</t>
  </si>
  <si>
    <t xml:space="preserve">Tuesday</t>
  </si>
  <si>
    <t xml:space="preserve">Wednesday</t>
  </si>
  <si>
    <t xml:space="preserve">Thursday</t>
  </si>
  <si>
    <t xml:space="preserve">Friday</t>
  </si>
  <si>
    <t xml:space="preserve">  UTILISATION BY ROOM</t>
  </si>
  <si>
    <t xml:space="preserve">Floor</t>
  </si>
  <si>
    <t xml:space="preserve">Avg people</t>
  </si>
  <si>
    <t xml:space="preserve">  Hours booked</t>
  </si>
  <si>
    <t xml:space="preserve">  A room under 20% is either the wrong size or hard to find. A room over 75% is why people give up and meet at their desks.</t>
  </si>
  <si>
    <t xml:space="preserve">  BUSIEST TIME SLOTS  —  WHERE THE FIGHT ACTUALLY IS</t>
  </si>
  <si>
    <t xml:space="preserve">Room-hours</t>
  </si>
  <si>
    <t xml:space="preserve">Avg rooms busy</t>
  </si>
  <si>
    <t xml:space="preserve">  Share of rooms in use at this time</t>
  </si>
  <si>
    <t xml:space="preserve">  WHO BOOKS THE ROOMS</t>
  </si>
  <si>
    <t xml:space="preserve">  Meetings booked</t>
  </si>
  <si>
    <t xml:space="preserve">  THIS DASHBOARD, WITHOUT THE UPKEEP</t>
  </si>
  <si>
    <t xml:space="preserve">  OfficeRnD Workplace measures what actually happened in the room</t>
  </si>
  <si>
    <t xml:space="preserve">30 minutes, on your own floor plan.</t>
  </si>
  <si>
    <t xml:space="preserve">Room booking, desk booking, visitors and parking in one place.</t>
  </si>
  <si>
    <t xml:space="preserve">Helper sheet — do not edit and do not delete. The Day Board, Room Week and Dashboard tabs all read from here.</t>
  </si>
  <si>
    <t xml:space="preserve">Slot</t>
  </si>
  <si>
    <t xml:space="preserve">slot start, in whole minutes past midnight (exact integers)</t>
  </si>
  <si>
    <t xml:space="preserve">seats · start minutes · end minutes, per booking row</t>
  </si>
  <si>
    <t xml:space="preserve">meetings per room on selected day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</si>
</sst>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d\ mmm\ yyyy"/>
    <numFmt numFmtId="167" formatCode="h:mm"/>
    <numFmt numFmtId="168" formatCode="0"/>
    <numFmt numFmtId="169" formatCode="0.0"/>
    <numFmt numFmtId="170" formatCode="0%"/>
    <numFmt numFmtId="171" formatCode="ddd\ d\ mmm"/>
  </numFmts>
  <fonts count="4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4"/>
      <color rgb="FFFFFFFF"/>
      <name val="Arial"/>
      <family val="0"/>
      <charset val="1"/>
    </font>
    <font>
      <sz val="11"/>
      <color rgb="FFC7D8F5"/>
      <name val="Arial"/>
      <family val="0"/>
      <charset val="1"/>
    </font>
    <font>
      <sz val="10"/>
      <color rgb="FF9FBAEC"/>
      <name val="Arial"/>
      <family val="0"/>
      <charset val="1"/>
    </font>
    <font>
      <b val="true"/>
      <sz val="11"/>
      <color rgb="FF083C92"/>
      <name val="Arial"/>
      <family val="0"/>
      <charset val="1"/>
    </font>
    <font>
      <sz val="10"/>
      <color rgb="FF1B2733"/>
      <name val="Arial"/>
      <family val="0"/>
      <charset val="1"/>
    </font>
    <font>
      <b val="true"/>
      <sz val="14"/>
      <color rgb="FF2F6FED"/>
      <name val="Arial"/>
      <family val="0"/>
      <charset val="1"/>
    </font>
    <font>
      <b val="true"/>
      <sz val="10"/>
      <color rgb="FF7FA8F0"/>
      <name val="Arial"/>
      <family val="0"/>
      <charset val="1"/>
    </font>
    <font>
      <b val="true"/>
      <sz val="18"/>
      <color rgb="FFFFFFFF"/>
      <name val="Arial"/>
      <family val="0"/>
      <charset val="1"/>
    </font>
    <font>
      <sz val="10"/>
      <color rgb="FFDCE7FB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b val="true"/>
      <sz val="11"/>
      <color rgb="FF6FE3D4"/>
      <name val="Arial"/>
      <family val="0"/>
      <charset val="1"/>
    </font>
    <font>
      <sz val="9"/>
      <color rgb="FF9FBAEC"/>
      <name val="Arial"/>
      <family val="0"/>
      <charset val="1"/>
    </font>
    <font>
      <b val="true"/>
      <sz val="9"/>
      <color rgb="FF7FA8F0"/>
      <name val="Arial"/>
      <family val="0"/>
      <charset val="1"/>
    </font>
    <font>
      <sz val="10"/>
      <color rgb="FF2F6FED"/>
      <name val="Arial"/>
      <family val="0"/>
      <charset val="1"/>
    </font>
    <font>
      <sz val="9"/>
      <color rgb="FF5A6472"/>
      <name val="Arial"/>
      <family val="0"/>
      <charset val="1"/>
    </font>
    <font>
      <b val="true"/>
      <sz val="14"/>
      <color rgb="FFFFFFFF"/>
      <name val="Arial"/>
      <family val="0"/>
      <charset val="1"/>
    </font>
    <font>
      <sz val="10"/>
      <color rgb="FF5A6472"/>
      <name val="Arial"/>
      <family val="0"/>
      <charset val="1"/>
    </font>
    <font>
      <b val="true"/>
      <sz val="10"/>
      <color rgb="FF1B2733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b val="true"/>
      <sz val="10"/>
      <color rgb="FF083C92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00FF"/>
      <name val="Arial"/>
      <family val="0"/>
      <charset val="1"/>
    </font>
    <font>
      <sz val="10"/>
      <color rgb="FFC7D8F5"/>
      <name val="Arial"/>
      <family val="0"/>
      <charset val="1"/>
    </font>
    <font>
      <b val="true"/>
      <sz val="10"/>
      <color rgb="FFFFB27A"/>
      <name val="Arial"/>
      <family val="0"/>
      <charset val="1"/>
    </font>
    <font>
      <b val="true"/>
      <sz val="16"/>
      <color rgb="FF083C92"/>
      <name val="Arial"/>
      <family val="0"/>
      <charset val="1"/>
    </font>
    <font>
      <b val="true"/>
      <sz val="9"/>
      <color rgb="FF083C92"/>
      <name val="Arial"/>
      <family val="0"/>
      <charset val="1"/>
    </font>
    <font>
      <b val="true"/>
      <sz val="10"/>
      <color rgb="FF5A6472"/>
      <name val="Arial"/>
      <family val="0"/>
      <charset val="1"/>
    </font>
    <font>
      <b val="true"/>
      <sz val="18"/>
      <color rgb="FF083C92"/>
      <name val="Arial"/>
      <family val="0"/>
      <charset val="1"/>
    </font>
    <font>
      <b val="true"/>
      <sz val="11"/>
      <color rgb="FF0000FF"/>
      <name val="Arial"/>
      <family val="0"/>
      <charset val="1"/>
    </font>
    <font>
      <sz val="10"/>
      <color rgb="FF9B1C1C"/>
      <name val="Arial"/>
      <family val="0"/>
      <charset val="1"/>
    </font>
    <font>
      <b val="true"/>
      <sz val="9"/>
      <color rgb="FF5A6472"/>
      <name val="Arial"/>
      <family val="0"/>
      <charset val="1"/>
    </font>
    <font>
      <b val="true"/>
      <sz val="9"/>
      <color rgb="FF8A5A00"/>
      <name val="Arial"/>
      <family val="0"/>
      <charset val="1"/>
    </font>
    <font>
      <b val="true"/>
      <sz val="18"/>
      <color rgb="FF5A6472"/>
      <name val="Arial"/>
      <family val="0"/>
      <charset val="1"/>
    </font>
    <font>
      <b val="true"/>
      <sz val="18"/>
      <color rgb="FF8A5A00"/>
      <name val="Arial"/>
      <family val="0"/>
      <charset val="1"/>
    </font>
    <font>
      <b val="true"/>
      <sz val="12"/>
      <color rgb="FF5A6472"/>
      <name val="Arial"/>
      <family val="0"/>
      <charset val="1"/>
    </font>
    <font>
      <sz val="9"/>
      <color rgb="FF1B3F8F"/>
      <name val="Arial"/>
      <family val="0"/>
      <charset val="1"/>
    </font>
    <font>
      <b val="true"/>
      <sz val="20"/>
      <color rgb="FF8A5A00"/>
      <name val="Arial"/>
      <family val="0"/>
      <charset val="1"/>
    </font>
    <font>
      <b val="true"/>
      <sz val="20"/>
      <color rgb="FF5A6472"/>
      <name val="Arial"/>
      <family val="0"/>
      <charset val="1"/>
    </font>
    <font>
      <b val="true"/>
      <sz val="16"/>
      <color rgb="FFFFFFFF"/>
      <name val="Arial"/>
      <family val="0"/>
      <charset val="1"/>
    </font>
    <font>
      <b val="true"/>
      <sz val="10"/>
      <color rgb="FF9B1C1C"/>
      <name val="Arial"/>
      <family val="0"/>
      <charset val="1"/>
    </font>
  </fonts>
  <fills count="11">
    <fill>
      <patternFill patternType="none"/>
    </fill>
    <fill>
      <patternFill patternType="gray125"/>
    </fill>
    <fill>
      <patternFill patternType="solid">
        <fgColor rgb="FF083C92"/>
        <bgColor rgb="FF1B3F8F"/>
      </patternFill>
    </fill>
    <fill>
      <patternFill patternType="solid">
        <fgColor rgb="FFF4F7FB"/>
        <bgColor rgb="FFFFF3F3"/>
      </patternFill>
    </fill>
    <fill>
      <patternFill patternType="solid">
        <fgColor rgb="FFFF7A2F"/>
        <bgColor rgb="FFFF8080"/>
      </patternFill>
    </fill>
    <fill>
      <patternFill patternType="solid">
        <fgColor rgb="FFFFF3B0"/>
        <bgColor rgb="FFFDEDC8"/>
      </patternFill>
    </fill>
    <fill>
      <patternFill patternType="solid">
        <fgColor rgb="FFE7EEF9"/>
        <bgColor rgb="FFEBEFF4"/>
      </patternFill>
    </fill>
    <fill>
      <patternFill patternType="solid">
        <fgColor rgb="FF052866"/>
        <bgColor rgb="FF1B2733"/>
      </patternFill>
    </fill>
    <fill>
      <patternFill patternType="solid">
        <fgColor rgb="FFFFFFFF"/>
        <bgColor rgb="FFF4F7FB"/>
      </patternFill>
    </fill>
    <fill>
      <patternFill patternType="solid">
        <fgColor rgb="FFEBEFF4"/>
        <bgColor rgb="FFE7EEF9"/>
      </patternFill>
    </fill>
    <fill>
      <patternFill patternType="solid">
        <fgColor rgb="FFFDEDC8"/>
        <bgColor rgb="FFFFF3B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6DEE8"/>
      </left>
      <right style="thin">
        <color rgb="FFD6DEE8"/>
      </right>
      <top style="thin">
        <color rgb="FFD6DEE8"/>
      </top>
      <bottom style="thin">
        <color rgb="FFD6DEE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0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2" fillId="2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9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0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8" fillId="3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1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22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2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22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23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23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23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7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2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7" fillId="2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8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9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28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28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28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7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18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5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8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25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25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20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0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1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32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3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4" fillId="9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5" fillId="1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36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36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37" fillId="1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8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6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3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9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2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40" fillId="1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41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41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41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40" fillId="1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7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20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6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71" fontId="8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8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23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20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8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3" fillId="6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3" fillId="6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23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6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1" fillId="8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8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21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8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2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3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3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71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8">
    <dxf>
      <font>
        <b val="1"/>
        <color rgb="FF9B1C1C"/>
      </font>
      <fill>
        <patternFill>
          <bgColor rgb="FFFBDDDD"/>
        </patternFill>
      </fill>
    </dxf>
    <dxf>
      <font>
        <b val="1"/>
        <color rgb="FF8A5A00"/>
      </font>
      <fill>
        <patternFill>
          <bgColor rgb="FFFDEDC8"/>
        </patternFill>
      </fill>
    </dxf>
    <dxf>
      <font>
        <color rgb="FF0B5D2E"/>
      </font>
    </dxf>
    <dxf>
      <font>
        <color rgb="FF8A5A00"/>
      </font>
      <fill>
        <patternFill>
          <bgColor rgb="FFFDEDC8"/>
        </patternFill>
      </fill>
    </dxf>
    <dxf>
      <fill>
        <patternFill>
          <bgColor rgb="FFFFF3F3"/>
        </patternFill>
      </fill>
    </dxf>
    <dxf>
      <font>
        <color rgb="FF1B3F8F"/>
      </font>
      <fill>
        <patternFill>
          <bgColor rgb="FFDCE9FE"/>
        </patternFill>
      </fill>
    </dxf>
    <dxf>
      <font>
        <color rgb="FF9B1C1C"/>
      </font>
      <fill>
        <patternFill>
          <bgColor rgb="FFFBDDDD"/>
        </patternFill>
      </fill>
    </dxf>
    <dxf>
      <font>
        <b val="1"/>
        <color rgb="FF9B1C1C"/>
      </font>
    </dxf>
  </dxfs>
  <colors>
    <indexedColors>
      <rgbColor rgb="FF000000"/>
      <rgbColor rgb="FFFFFFFF"/>
      <rgbColor rgb="FFFF0000"/>
      <rgbColor rgb="FF00FF00"/>
      <rgbColor rgb="FF0000FF"/>
      <rgbColor rgb="FFFFF3F3"/>
      <rgbColor rgb="FFFF00FF"/>
      <rgbColor rgb="FF00FFFF"/>
      <rgbColor rgb="FF800000"/>
      <rgbColor rgb="FF0B5D2E"/>
      <rgbColor rgb="FF000080"/>
      <rgbColor rgb="FF8A5A00"/>
      <rgbColor rgb="FF800080"/>
      <rgbColor rgb="FF008080"/>
      <rgbColor rgb="FFD6DEE8"/>
      <rgbColor rgb="FF808080"/>
      <rgbColor rgb="FF7FA8F0"/>
      <rgbColor rgb="FF993366"/>
      <rgbColor rgb="FFFDEDC8"/>
      <rgbColor rgb="FFDCE9FE"/>
      <rgbColor rgb="FF660066"/>
      <rgbColor rgb="FFFF8080"/>
      <rgbColor rgb="FF083C92"/>
      <rgbColor rgb="FFC7D8F5"/>
      <rgbColor rgb="FF000080"/>
      <rgbColor rgb="FFFF00FF"/>
      <rgbColor rgb="FFF4F7FB"/>
      <rgbColor rgb="FF00FFFF"/>
      <rgbColor rgb="FF800080"/>
      <rgbColor rgb="FF800000"/>
      <rgbColor rgb="FF008080"/>
      <rgbColor rgb="FF0000FF"/>
      <rgbColor rgb="FF00CCFF"/>
      <rgbColor rgb="FFE7EEF9"/>
      <rgbColor rgb="FFEBEFF4"/>
      <rgbColor rgb="FFFFF3B0"/>
      <rgbColor rgb="FF9FBAEC"/>
      <rgbColor rgb="FFFBDDDD"/>
      <rgbColor rgb="FFDCE7FB"/>
      <rgbColor rgb="FFFFB27A"/>
      <rgbColor rgb="FF2F6FED"/>
      <rgbColor rgb="FF6FE3D4"/>
      <rgbColor rgb="FF99CC00"/>
      <rgbColor rgb="FFFFCC00"/>
      <rgbColor rgb="FFFF9900"/>
      <rgbColor rgb="FFFF7A2F"/>
      <rgbColor rgb="FF5A6472"/>
      <rgbColor rgb="FF969696"/>
      <rgbColor rgb="FF052866"/>
      <rgbColor rgb="FF339966"/>
      <rgbColor rgb="FF003300"/>
      <rgbColor rgb="FF333300"/>
      <rgbColor rgb="FF9B1C1C"/>
      <rgbColor rgb="FF993366"/>
      <rgbColor rgb="FF1B3F8F"/>
      <rgbColor rgb="FF1B27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officernd.com/demo-hybrid/?utm_medium=product&amp;utm_source=blog%20post&amp;utm_campaign=hybrid-workplace-management-demo-meeting-room-booking-template" TargetMode="External"/><Relationship Id="rId2" Type="http://schemas.openxmlformats.org/officeDocument/2006/relationships/hyperlink" Target="https://www.officernd.com/workplace-management-software/?utm_medium=product&amp;utm_source=blog&amp;utm_campaign=hybrid-workplace-management-product-content-meeting-room-booking-template" TargetMode="Externa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https://www.officernd.com/demo-hybrid/?utm_medium=product&amp;utm_source=blog%20post&amp;utm_campaign=hybrid-workplace-management-demo-meeting-room-booking-template" TargetMode="Externa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hyperlink" Target="https://www.officernd.com/demo-hybrid/?utm_medium=product&amp;utm_source=blog%20post&amp;utm_campaign=hybrid-workplace-management-demo-meeting-room-booking-template" TargetMode="Externa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hyperlink" Target="https://www.officernd.com/demo-hybrid/?utm_medium=product&amp;utm_source=blog%20post&amp;utm_campaign=hybrid-workplace-management-demo-meeting-room-booking-template" TargetMode="Externa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hyperlink" Target="https://www.officernd.com/demo-hybrid/?utm_medium=product&amp;utm_source=blog%20post&amp;utm_campaign=hybrid-workplace-management-demo-meeting-room-booking-template" TargetMode="External"/><Relationship Id="rId2" Type="http://schemas.openxmlformats.org/officeDocument/2006/relationships/hyperlink" Target="https://www.officernd.com/demo-hybrid/?utm_medium=product&amp;utm_source=blog%20post&amp;utm_campaign=hybrid-workplace-management-demo-meeting-room-booking-template" TargetMode="External"/><Relationship Id="rId3" Type="http://schemas.openxmlformats.org/officeDocument/2006/relationships/hyperlink" Target="https://www.officernd.com/workplace-management-software/?utm_medium=product&amp;utm_source=blog&amp;utm_campaign=hybrid-workplace-management-product-content-meeting-room-booking-template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83C92"/>
    <pageSetUpPr fitToPage="false"/>
  </sheetPr>
  <dimension ref="B1:K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5"/>
    <col collapsed="false" customWidth="true" hidden="false" outlineLevel="0" max="2" min="2" style="0" width="6"/>
    <col collapsed="false" customWidth="true" hidden="false" outlineLevel="0" max="3" min="3" style="0" width="17"/>
    <col collapsed="false" customWidth="true" hidden="false" outlineLevel="0" max="4" min="4" style="0" width="15"/>
    <col collapsed="false" customWidth="true" hidden="false" outlineLevel="0" max="11" min="5" style="0" width="12"/>
    <col collapsed="false" customWidth="true" hidden="false" outlineLevel="0" max="12" min="12" style="0" width="2.5"/>
  </cols>
  <sheetData>
    <row r="1" customFormat="false" ht="7.5" hidden="false" customHeight="true" outlineLevel="0" collapsed="false">
      <c r="B1" s="1"/>
      <c r="C1" s="1"/>
      <c r="D1" s="1"/>
      <c r="E1" s="1"/>
      <c r="F1" s="1"/>
      <c r="G1" s="1"/>
      <c r="H1" s="1"/>
      <c r="I1" s="1"/>
      <c r="J1" s="1"/>
      <c r="K1" s="1"/>
    </row>
    <row r="2" customFormat="false" ht="12" hidden="false" customHeight="true" outlineLevel="0" collapsed="false">
      <c r="B2" s="1"/>
      <c r="C2" s="1"/>
      <c r="D2" s="1"/>
      <c r="E2" s="1"/>
      <c r="F2" s="1"/>
      <c r="G2" s="1"/>
      <c r="H2" s="1"/>
      <c r="I2" s="1"/>
      <c r="J2" s="1"/>
      <c r="K2" s="1"/>
    </row>
    <row r="3" customFormat="false" ht="36" hidden="false" customHeight="true" outlineLevel="0" collapsed="false">
      <c r="B3" s="1"/>
      <c r="C3" s="2" t="s">
        <v>0</v>
      </c>
      <c r="D3" s="2"/>
      <c r="E3" s="2"/>
      <c r="F3" s="2"/>
      <c r="G3" s="2"/>
      <c r="H3" s="2"/>
      <c r="I3" s="2"/>
      <c r="J3" s="2"/>
      <c r="K3" s="2"/>
    </row>
    <row r="4" customFormat="false" ht="19.5" hidden="false" customHeight="true" outlineLevel="0" collapsed="false">
      <c r="B4" s="1"/>
      <c r="C4" s="3" t="s">
        <v>1</v>
      </c>
      <c r="D4" s="3"/>
      <c r="E4" s="3"/>
      <c r="F4" s="3"/>
      <c r="G4" s="3"/>
      <c r="H4" s="3"/>
      <c r="I4" s="3"/>
      <c r="J4" s="3"/>
      <c r="K4" s="3"/>
    </row>
    <row r="5" customFormat="false" ht="18" hidden="false" customHeight="true" outlineLevel="0" collapsed="false">
      <c r="B5" s="1"/>
      <c r="C5" s="4" t="s">
        <v>2</v>
      </c>
      <c r="D5" s="4"/>
      <c r="E5" s="4"/>
      <c r="F5" s="4"/>
      <c r="G5" s="4"/>
      <c r="H5" s="4"/>
      <c r="I5" s="4"/>
      <c r="J5" s="4"/>
      <c r="K5" s="4"/>
    </row>
    <row r="6" customFormat="false" ht="12" hidden="false" customHeight="true" outlineLevel="0" collapsed="false">
      <c r="B6" s="1"/>
      <c r="C6" s="1"/>
      <c r="D6" s="1"/>
      <c r="E6" s="1"/>
      <c r="F6" s="1"/>
      <c r="G6" s="1"/>
      <c r="H6" s="1"/>
      <c r="I6" s="1"/>
      <c r="J6" s="1"/>
      <c r="K6" s="1"/>
    </row>
    <row r="7" customFormat="false" ht="12" hidden="false" customHeight="true" outlineLevel="0" collapsed="false">
      <c r="B7" s="1"/>
      <c r="C7" s="1"/>
      <c r="D7" s="1"/>
      <c r="E7" s="1"/>
      <c r="F7" s="1"/>
      <c r="G7" s="1"/>
      <c r="H7" s="1"/>
      <c r="I7" s="1"/>
      <c r="J7" s="1"/>
      <c r="K7" s="1"/>
    </row>
    <row r="8" customFormat="false" ht="21.75" hidden="false" customHeight="true" outlineLevel="0" collapsed="false">
      <c r="B8" s="5" t="s">
        <v>3</v>
      </c>
      <c r="C8" s="5"/>
      <c r="D8" s="5"/>
      <c r="E8" s="5"/>
      <c r="F8" s="5"/>
      <c r="G8" s="5"/>
      <c r="H8" s="5"/>
      <c r="I8" s="5"/>
      <c r="J8" s="5"/>
      <c r="K8" s="5"/>
    </row>
    <row r="9" customFormat="false" ht="18" hidden="false" customHeight="true" outlineLevel="0" collapsed="false">
      <c r="B9" s="6" t="s">
        <v>4</v>
      </c>
      <c r="C9" s="6"/>
      <c r="D9" s="7" t="s">
        <v>5</v>
      </c>
      <c r="E9" s="7"/>
      <c r="F9" s="7"/>
      <c r="G9" s="7"/>
      <c r="H9" s="7"/>
      <c r="I9" s="7"/>
      <c r="J9" s="7"/>
      <c r="K9" s="7"/>
    </row>
    <row r="10" customFormat="false" ht="18" hidden="false" customHeight="true" outlineLevel="0" collapsed="false">
      <c r="B10" s="6" t="s">
        <v>6</v>
      </c>
      <c r="C10" s="6"/>
      <c r="D10" s="7" t="s">
        <v>7</v>
      </c>
      <c r="E10" s="7"/>
      <c r="F10" s="7"/>
      <c r="G10" s="7"/>
      <c r="H10" s="7"/>
      <c r="I10" s="7"/>
      <c r="J10" s="7"/>
      <c r="K10" s="7"/>
    </row>
    <row r="11" customFormat="false" ht="18" hidden="false" customHeight="true" outlineLevel="0" collapsed="false">
      <c r="B11" s="6" t="s">
        <v>8</v>
      </c>
      <c r="C11" s="6"/>
      <c r="D11" s="7" t="s">
        <v>9</v>
      </c>
      <c r="E11" s="7"/>
      <c r="F11" s="7"/>
      <c r="G11" s="7"/>
      <c r="H11" s="7"/>
      <c r="I11" s="7"/>
      <c r="J11" s="7"/>
      <c r="K11" s="7"/>
    </row>
    <row r="12" customFormat="false" ht="18" hidden="false" customHeight="true" outlineLevel="0" collapsed="false">
      <c r="B12" s="6" t="s">
        <v>10</v>
      </c>
      <c r="C12" s="6"/>
      <c r="D12" s="7" t="s">
        <v>11</v>
      </c>
      <c r="E12" s="7"/>
      <c r="F12" s="7"/>
      <c r="G12" s="7"/>
      <c r="H12" s="7"/>
      <c r="I12" s="7"/>
      <c r="J12" s="7"/>
      <c r="K12" s="7"/>
    </row>
    <row r="13" customFormat="false" ht="18" hidden="false" customHeight="true" outlineLevel="0" collapsed="false">
      <c r="B13" s="6" t="s">
        <v>12</v>
      </c>
      <c r="C13" s="6"/>
      <c r="D13" s="7" t="s">
        <v>13</v>
      </c>
      <c r="E13" s="7"/>
      <c r="F13" s="7"/>
      <c r="G13" s="7"/>
      <c r="H13" s="7"/>
      <c r="I13" s="7"/>
      <c r="J13" s="7"/>
      <c r="K13" s="7"/>
    </row>
    <row r="14" customFormat="false" ht="12" hidden="false" customHeight="true" outlineLevel="0" collapsed="false"/>
    <row r="15" customFormat="false" ht="21.75" hidden="false" customHeight="true" outlineLevel="0" collapsed="false">
      <c r="B15" s="5" t="s">
        <v>14</v>
      </c>
      <c r="C15" s="5"/>
      <c r="D15" s="5"/>
      <c r="E15" s="5"/>
      <c r="F15" s="5"/>
      <c r="G15" s="5"/>
      <c r="H15" s="5"/>
      <c r="I15" s="5"/>
      <c r="J15" s="5"/>
      <c r="K15" s="5"/>
    </row>
    <row r="16" customFormat="false" ht="19.5" hidden="false" customHeight="true" outlineLevel="0" collapsed="false">
      <c r="B16" s="8" t="s">
        <v>15</v>
      </c>
      <c r="C16" s="7" t="s">
        <v>16</v>
      </c>
      <c r="D16" s="7"/>
      <c r="E16" s="7"/>
      <c r="F16" s="7"/>
      <c r="G16" s="7"/>
      <c r="H16" s="7"/>
      <c r="I16" s="7"/>
      <c r="J16" s="7"/>
      <c r="K16" s="7"/>
    </row>
    <row r="17" customFormat="false" ht="19.5" hidden="false" customHeight="true" outlineLevel="0" collapsed="false">
      <c r="B17" s="8" t="s">
        <v>17</v>
      </c>
      <c r="C17" s="7" t="s">
        <v>18</v>
      </c>
      <c r="D17" s="7"/>
      <c r="E17" s="7"/>
      <c r="F17" s="7"/>
      <c r="G17" s="7"/>
      <c r="H17" s="7"/>
      <c r="I17" s="7"/>
      <c r="J17" s="7"/>
      <c r="K17" s="7"/>
    </row>
    <row r="18" customFormat="false" ht="19.5" hidden="false" customHeight="true" outlineLevel="0" collapsed="false">
      <c r="B18" s="8" t="s">
        <v>19</v>
      </c>
      <c r="C18" s="7" t="s">
        <v>20</v>
      </c>
      <c r="D18" s="7"/>
      <c r="E18" s="7"/>
      <c r="F18" s="7"/>
      <c r="G18" s="7"/>
      <c r="H18" s="7"/>
      <c r="I18" s="7"/>
      <c r="J18" s="7"/>
      <c r="K18" s="7"/>
    </row>
    <row r="19" customFormat="false" ht="19.5" hidden="false" customHeight="true" outlineLevel="0" collapsed="false">
      <c r="B19" s="8" t="s">
        <v>21</v>
      </c>
      <c r="C19" s="7" t="s">
        <v>22</v>
      </c>
      <c r="D19" s="7"/>
      <c r="E19" s="7"/>
      <c r="F19" s="7"/>
      <c r="G19" s="7"/>
      <c r="H19" s="7"/>
      <c r="I19" s="7"/>
      <c r="J19" s="7"/>
      <c r="K19" s="7"/>
    </row>
    <row r="20" customFormat="false" ht="13.5" hidden="false" customHeight="true" outlineLevel="0" collapsed="false"/>
    <row r="21" customFormat="false" ht="12" hidden="false" customHeight="true" outlineLevel="0" collapsed="false"/>
    <row r="22" customFormat="false" ht="18" hidden="false" customHeight="true" outlineLevel="0" collapsed="false">
      <c r="B22" s="1"/>
      <c r="C22" s="9" t="s">
        <v>23</v>
      </c>
      <c r="D22" s="9"/>
      <c r="E22" s="9"/>
      <c r="F22" s="9"/>
      <c r="G22" s="9"/>
      <c r="H22" s="9"/>
      <c r="I22" s="9"/>
      <c r="J22" s="9"/>
      <c r="K22" s="9"/>
    </row>
    <row r="23" customFormat="false" ht="25.5" hidden="false" customHeight="true" outlineLevel="0" collapsed="false">
      <c r="B23" s="1"/>
      <c r="C23" s="10" t="s">
        <v>24</v>
      </c>
      <c r="D23" s="10"/>
      <c r="E23" s="10"/>
      <c r="F23" s="10"/>
      <c r="G23" s="10"/>
      <c r="H23" s="10"/>
      <c r="I23" s="10"/>
      <c r="J23" s="10"/>
      <c r="K23" s="10"/>
    </row>
    <row r="24" customFormat="false" ht="21.75" hidden="false" customHeight="true" outlineLevel="0" collapsed="false">
      <c r="B24" s="1"/>
      <c r="C24" s="11" t="s">
        <v>25</v>
      </c>
      <c r="D24" s="11"/>
      <c r="E24" s="11"/>
      <c r="F24" s="11"/>
      <c r="G24" s="11"/>
      <c r="H24" s="11"/>
      <c r="I24" s="11"/>
      <c r="J24" s="11"/>
      <c r="K24" s="11"/>
    </row>
    <row r="25" customFormat="false" ht="21.75" hidden="false" customHeight="true" outlineLevel="0" collapsed="false">
      <c r="B25" s="1"/>
      <c r="C25" s="11"/>
      <c r="D25" s="11"/>
      <c r="E25" s="11"/>
      <c r="F25" s="11"/>
      <c r="G25" s="11"/>
      <c r="H25" s="11"/>
      <c r="I25" s="11"/>
      <c r="J25" s="11"/>
      <c r="K25" s="11"/>
    </row>
    <row r="26" customFormat="false" ht="30" hidden="false" customHeight="true" outlineLevel="0" collapsed="false">
      <c r="B26" s="1"/>
      <c r="C26" s="12" t="s">
        <v>26</v>
      </c>
      <c r="D26" s="12"/>
      <c r="E26" s="12"/>
      <c r="F26" s="12"/>
      <c r="G26" s="1"/>
      <c r="H26" s="13" t="s">
        <v>27</v>
      </c>
      <c r="I26" s="13"/>
      <c r="J26" s="13"/>
      <c r="K26" s="13"/>
    </row>
    <row r="27" customFormat="false" ht="15" hidden="false" customHeight="true" outlineLevel="0" collapsed="false">
      <c r="B27" s="1"/>
      <c r="C27" s="14" t="s">
        <v>28</v>
      </c>
      <c r="D27" s="14"/>
      <c r="E27" s="14"/>
      <c r="F27" s="14"/>
      <c r="G27" s="1"/>
      <c r="H27" s="14" t="s">
        <v>29</v>
      </c>
      <c r="I27" s="14"/>
      <c r="J27" s="14"/>
      <c r="K27" s="14"/>
    </row>
    <row r="28" customFormat="false" ht="18" hidden="false" customHeight="true" outlineLevel="0" collapsed="false">
      <c r="B28" s="1"/>
      <c r="C28" s="15" t="s">
        <v>30</v>
      </c>
      <c r="D28" s="15"/>
      <c r="E28" s="15"/>
      <c r="F28" s="15"/>
      <c r="G28" s="15"/>
      <c r="H28" s="15"/>
      <c r="I28" s="15"/>
      <c r="J28" s="15"/>
      <c r="K28" s="15"/>
    </row>
    <row r="29" customFormat="false" ht="12" hidden="false" customHeight="true" outlineLevel="0" collapsed="false"/>
    <row r="30" customFormat="false" ht="13.5" hidden="false" customHeight="true" outlineLevel="0" collapsed="false"/>
    <row r="31" customFormat="false" ht="21.75" hidden="false" customHeight="true" outlineLevel="0" collapsed="false">
      <c r="B31" s="5" t="s">
        <v>31</v>
      </c>
      <c r="C31" s="5"/>
      <c r="D31" s="5"/>
      <c r="E31" s="5"/>
      <c r="F31" s="5"/>
      <c r="G31" s="5"/>
      <c r="H31" s="5"/>
      <c r="I31" s="5"/>
      <c r="J31" s="5"/>
      <c r="K31" s="5"/>
    </row>
    <row r="32" customFormat="false" ht="16.5" hidden="false" customHeight="true" outlineLevel="0" collapsed="false">
      <c r="B32" s="16" t="s">
        <v>32</v>
      </c>
      <c r="C32" s="7" t="s">
        <v>33</v>
      </c>
      <c r="D32" s="7"/>
      <c r="E32" s="7"/>
      <c r="F32" s="7"/>
      <c r="G32" s="7"/>
      <c r="H32" s="7"/>
      <c r="I32" s="7"/>
      <c r="J32" s="7"/>
      <c r="K32" s="7"/>
    </row>
    <row r="33" customFormat="false" ht="16.5" hidden="false" customHeight="true" outlineLevel="0" collapsed="false">
      <c r="B33" s="16" t="s">
        <v>32</v>
      </c>
      <c r="C33" s="7" t="s">
        <v>34</v>
      </c>
      <c r="D33" s="7"/>
      <c r="E33" s="7"/>
      <c r="F33" s="7"/>
      <c r="G33" s="7"/>
      <c r="H33" s="7"/>
      <c r="I33" s="7"/>
      <c r="J33" s="7"/>
      <c r="K33" s="7"/>
    </row>
    <row r="34" customFormat="false" ht="16.5" hidden="false" customHeight="true" outlineLevel="0" collapsed="false">
      <c r="B34" s="16" t="s">
        <v>32</v>
      </c>
      <c r="C34" s="7" t="s">
        <v>35</v>
      </c>
      <c r="D34" s="7"/>
      <c r="E34" s="7"/>
      <c r="F34" s="7"/>
      <c r="G34" s="7"/>
      <c r="H34" s="7"/>
      <c r="I34" s="7"/>
      <c r="J34" s="7"/>
      <c r="K34" s="7"/>
    </row>
    <row r="35" customFormat="false" ht="16.5" hidden="false" customHeight="true" outlineLevel="0" collapsed="false">
      <c r="B35" s="16" t="s">
        <v>32</v>
      </c>
      <c r="C35" s="7" t="s">
        <v>36</v>
      </c>
      <c r="D35" s="7"/>
      <c r="E35" s="7"/>
      <c r="F35" s="7"/>
      <c r="G35" s="7"/>
      <c r="H35" s="7"/>
      <c r="I35" s="7"/>
      <c r="J35" s="7"/>
      <c r="K35" s="7"/>
    </row>
    <row r="36" customFormat="false" ht="16.5" hidden="false" customHeight="true" outlineLevel="0" collapsed="false">
      <c r="B36" s="16" t="s">
        <v>32</v>
      </c>
      <c r="C36" s="7" t="s">
        <v>37</v>
      </c>
      <c r="D36" s="7"/>
      <c r="E36" s="7"/>
      <c r="F36" s="7"/>
      <c r="G36" s="7"/>
      <c r="H36" s="7"/>
      <c r="I36" s="7"/>
      <c r="J36" s="7"/>
      <c r="K36" s="7"/>
    </row>
    <row r="37" customFormat="false" ht="13.5" hidden="false" customHeight="true" outlineLevel="0" collapsed="false"/>
    <row r="38" customFormat="false" ht="15" hidden="false" customHeight="true" outlineLevel="0" collapsed="false">
      <c r="B38" s="17" t="s">
        <v>38</v>
      </c>
      <c r="C38" s="17"/>
      <c r="D38" s="17"/>
      <c r="E38" s="17"/>
      <c r="F38" s="17"/>
      <c r="G38" s="17"/>
      <c r="H38" s="17"/>
      <c r="I38" s="17"/>
      <c r="J38" s="17"/>
      <c r="K38" s="17"/>
    </row>
  </sheetData>
  <mergeCells count="34">
    <mergeCell ref="C3:K3"/>
    <mergeCell ref="C4:K4"/>
    <mergeCell ref="C5:K5"/>
    <mergeCell ref="B8:K8"/>
    <mergeCell ref="B9:C9"/>
    <mergeCell ref="D9:K9"/>
    <mergeCell ref="B10:C10"/>
    <mergeCell ref="D10:K10"/>
    <mergeCell ref="B11:C11"/>
    <mergeCell ref="D11:K11"/>
    <mergeCell ref="B12:C12"/>
    <mergeCell ref="D12:K12"/>
    <mergeCell ref="B13:C13"/>
    <mergeCell ref="D13:K13"/>
    <mergeCell ref="B15:K15"/>
    <mergeCell ref="C16:K16"/>
    <mergeCell ref="C17:K17"/>
    <mergeCell ref="C18:K18"/>
    <mergeCell ref="C19:K19"/>
    <mergeCell ref="C22:K22"/>
    <mergeCell ref="C23:K23"/>
    <mergeCell ref="C24:K25"/>
    <mergeCell ref="C26:F26"/>
    <mergeCell ref="H26:K26"/>
    <mergeCell ref="C27:F27"/>
    <mergeCell ref="H27:K27"/>
    <mergeCell ref="C28:K28"/>
    <mergeCell ref="B31:K31"/>
    <mergeCell ref="C32:K32"/>
    <mergeCell ref="C33:K33"/>
    <mergeCell ref="C34:K34"/>
    <mergeCell ref="C35:K35"/>
    <mergeCell ref="C36:K36"/>
    <mergeCell ref="B38:K38"/>
  </mergeCells>
  <hyperlinks>
    <hyperlink ref="C26" r:id="rId1" display="►  BOOK A LIVE DEMO"/>
    <hyperlink ref="H26" r:id="rId2" display="Explore OfficeRnD Workplace  →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F6FED"/>
    <pageSetUpPr fitToPage="false"/>
  </sheetPr>
  <dimension ref="B1:L4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5" topLeftCell="A1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5"/>
    <col collapsed="false" customWidth="true" hidden="false" outlineLevel="0" max="2" min="2" style="0" width="5"/>
    <col collapsed="false" customWidth="true" hidden="false" outlineLevel="0" max="3" min="3" style="0" width="20"/>
    <col collapsed="false" customWidth="true" hidden="false" outlineLevel="0" max="4" min="4" style="0" width="16"/>
    <col collapsed="false" customWidth="true" hidden="false" outlineLevel="0" max="5" min="5" style="0" width="9"/>
    <col collapsed="false" customWidth="true" hidden="false" outlineLevel="0" max="6" min="6" style="0" width="26"/>
    <col collapsed="false" customWidth="true" hidden="false" outlineLevel="0" max="7" min="7" style="0" width="2"/>
    <col collapsed="false" customWidth="true" hidden="false" outlineLevel="0" max="8" min="8" style="0" width="5"/>
    <col collapsed="false" customWidth="true" hidden="false" outlineLevel="0" max="9" min="9" style="0" width="20"/>
    <col collapsed="false" customWidth="true" hidden="false" outlineLevel="0" max="10" min="10" style="0" width="16"/>
    <col collapsed="false" customWidth="true" hidden="false" outlineLevel="0" max="11" min="11" style="0" width="2"/>
    <col collapsed="false" customWidth="true" hidden="false" outlineLevel="0" max="12" min="12" style="0" width="32"/>
  </cols>
  <sheetData>
    <row r="1" customFormat="false" ht="30" hidden="false" customHeight="true" outlineLevel="0" collapsed="false">
      <c r="B1" s="18" t="s">
        <v>39</v>
      </c>
      <c r="C1" s="18"/>
      <c r="D1" s="18"/>
      <c r="E1" s="18"/>
      <c r="F1" s="18"/>
      <c r="G1" s="18"/>
      <c r="H1" s="18"/>
      <c r="I1" s="18"/>
      <c r="J1" s="18"/>
    </row>
    <row r="2" customFormat="false" ht="9.75" hidden="false" customHeight="true" outlineLevel="0" collapsed="false"/>
    <row r="3" customFormat="false" ht="15.75" hidden="false" customHeight="true" outlineLevel="0" collapsed="false">
      <c r="B3" s="19" t="s">
        <v>40</v>
      </c>
      <c r="C3" s="19"/>
      <c r="D3" s="19"/>
      <c r="E3" s="19"/>
      <c r="F3" s="19"/>
      <c r="G3" s="19"/>
      <c r="H3" s="19"/>
      <c r="I3" s="19"/>
      <c r="J3" s="19"/>
    </row>
    <row r="4" customFormat="false" ht="9.75" hidden="false" customHeight="true" outlineLevel="0" collapsed="false"/>
    <row r="5" customFormat="false" ht="21.75" hidden="false" customHeight="true" outlineLevel="0" collapsed="false">
      <c r="B5" s="5" t="s">
        <v>41</v>
      </c>
      <c r="C5" s="5"/>
      <c r="D5" s="5"/>
      <c r="E5" s="5"/>
      <c r="F5" s="5"/>
      <c r="L5" s="20" t="s">
        <v>42</v>
      </c>
    </row>
    <row r="6" customFormat="false" ht="19.5" hidden="false" customHeight="true" outlineLevel="0" collapsed="false">
      <c r="B6" s="21" t="s">
        <v>43</v>
      </c>
      <c r="C6" s="21"/>
      <c r="D6" s="22" t="s">
        <v>44</v>
      </c>
      <c r="E6" s="17" t="s">
        <v>45</v>
      </c>
      <c r="F6" s="17"/>
      <c r="L6" s="20"/>
    </row>
    <row r="7" customFormat="false" ht="19.5" hidden="false" customHeight="true" outlineLevel="0" collapsed="false">
      <c r="B7" s="21" t="s">
        <v>46</v>
      </c>
      <c r="C7" s="21"/>
      <c r="D7" s="23" t="n">
        <f aca="true">TODAY()-WEEKDAY(TODAY(),2)+1</f>
        <v>46237</v>
      </c>
      <c r="E7" s="17" t="s">
        <v>47</v>
      </c>
      <c r="F7" s="17"/>
      <c r="L7" s="20"/>
    </row>
    <row r="8" customFormat="false" ht="19.5" hidden="false" customHeight="true" outlineLevel="0" collapsed="false">
      <c r="B8" s="21" t="s">
        <v>48</v>
      </c>
      <c r="C8" s="21"/>
      <c r="D8" s="24" t="n">
        <v>0.375</v>
      </c>
      <c r="E8" s="17" t="s">
        <v>49</v>
      </c>
      <c r="F8" s="17"/>
      <c r="L8" s="20"/>
    </row>
    <row r="9" customFormat="false" ht="19.5" hidden="false" customHeight="true" outlineLevel="0" collapsed="false">
      <c r="B9" s="21" t="s">
        <v>50</v>
      </c>
      <c r="C9" s="21"/>
      <c r="D9" s="25" t="n">
        <f aca="false">DayStart+TIME(8,0,0)</f>
        <v>0.708333333333333</v>
      </c>
      <c r="E9" s="17" t="s">
        <v>51</v>
      </c>
      <c r="F9" s="17"/>
      <c r="L9" s="20"/>
    </row>
    <row r="10" customFormat="false" ht="19.5" hidden="false" customHeight="true" outlineLevel="0" collapsed="false">
      <c r="B10" s="21" t="s">
        <v>52</v>
      </c>
      <c r="C10" s="21"/>
      <c r="D10" s="26" t="n">
        <f aca="false">COUNTIF($C$16:$C$27,"?*")</f>
        <v>6</v>
      </c>
      <c r="E10" s="17" t="s">
        <v>53</v>
      </c>
      <c r="F10" s="17"/>
      <c r="L10" s="20"/>
    </row>
    <row r="11" customFormat="false" ht="19.5" hidden="false" customHeight="true" outlineLevel="0" collapsed="false">
      <c r="B11" s="21" t="s">
        <v>54</v>
      </c>
      <c r="C11" s="21"/>
      <c r="D11" s="26" t="n">
        <f aca="false">COUNTIF($I$16:$I$45,"?*")</f>
        <v>20</v>
      </c>
      <c r="E11" s="17" t="s">
        <v>55</v>
      </c>
      <c r="F11" s="17"/>
      <c r="L11" s="20"/>
    </row>
    <row r="12" customFormat="false" ht="19.5" hidden="false" customHeight="true" outlineLevel="0" collapsed="false">
      <c r="B12" s="21" t="s">
        <v>56</v>
      </c>
      <c r="C12" s="21"/>
      <c r="D12" s="27" t="n">
        <f aca="false">(DayEnd-DayStart)*24</f>
        <v>8</v>
      </c>
      <c r="E12" s="17" t="s">
        <v>57</v>
      </c>
      <c r="F12" s="17"/>
      <c r="L12" s="20"/>
    </row>
    <row r="13" customFormat="false" ht="12" hidden="false" customHeight="true" outlineLevel="0" collapsed="false"/>
    <row r="14" customFormat="false" ht="21.75" hidden="false" customHeight="true" outlineLevel="0" collapsed="false">
      <c r="B14" s="5" t="s">
        <v>58</v>
      </c>
      <c r="C14" s="5"/>
      <c r="D14" s="5"/>
      <c r="E14" s="5"/>
      <c r="F14" s="5"/>
      <c r="H14" s="5" t="s">
        <v>59</v>
      </c>
      <c r="I14" s="5"/>
      <c r="J14" s="5"/>
    </row>
    <row r="15" customFormat="false" ht="24" hidden="false" customHeight="true" outlineLevel="0" collapsed="false">
      <c r="B15" s="28" t="s">
        <v>60</v>
      </c>
      <c r="C15" s="29" t="s">
        <v>61</v>
      </c>
      <c r="D15" s="29" t="s">
        <v>62</v>
      </c>
      <c r="E15" s="28" t="s">
        <v>63</v>
      </c>
      <c r="F15" s="29" t="s">
        <v>64</v>
      </c>
      <c r="H15" s="28" t="s">
        <v>60</v>
      </c>
      <c r="I15" s="29" t="s">
        <v>65</v>
      </c>
      <c r="J15" s="29" t="s">
        <v>66</v>
      </c>
    </row>
    <row r="16" customFormat="false" ht="18" hidden="false" customHeight="true" outlineLevel="0" collapsed="false">
      <c r="B16" s="30" t="n">
        <v>1</v>
      </c>
      <c r="C16" s="31" t="s">
        <v>67</v>
      </c>
      <c r="D16" s="32" t="s">
        <v>68</v>
      </c>
      <c r="E16" s="33" t="n">
        <v>12</v>
      </c>
      <c r="F16" s="32" t="s">
        <v>69</v>
      </c>
      <c r="H16" s="30" t="n">
        <v>1</v>
      </c>
      <c r="I16" s="32" t="s">
        <v>70</v>
      </c>
      <c r="J16" s="32" t="s">
        <v>71</v>
      </c>
    </row>
    <row r="17" customFormat="false" ht="18" hidden="false" customHeight="true" outlineLevel="0" collapsed="false">
      <c r="B17" s="30" t="n">
        <v>2</v>
      </c>
      <c r="C17" s="31" t="s">
        <v>72</v>
      </c>
      <c r="D17" s="32" t="s">
        <v>68</v>
      </c>
      <c r="E17" s="33" t="n">
        <v>8</v>
      </c>
      <c r="F17" s="32" t="s">
        <v>73</v>
      </c>
      <c r="H17" s="30" t="n">
        <v>2</v>
      </c>
      <c r="I17" s="32" t="s">
        <v>74</v>
      </c>
      <c r="J17" s="32" t="s">
        <v>71</v>
      </c>
    </row>
    <row r="18" customFormat="false" ht="18" hidden="false" customHeight="true" outlineLevel="0" collapsed="false">
      <c r="B18" s="30" t="n">
        <v>3</v>
      </c>
      <c r="C18" s="31" t="s">
        <v>75</v>
      </c>
      <c r="D18" s="32" t="s">
        <v>68</v>
      </c>
      <c r="E18" s="33" t="n">
        <v>6</v>
      </c>
      <c r="F18" s="32" t="s">
        <v>76</v>
      </c>
      <c r="H18" s="30" t="n">
        <v>3</v>
      </c>
      <c r="I18" s="32" t="s">
        <v>77</v>
      </c>
      <c r="J18" s="32" t="s">
        <v>78</v>
      </c>
    </row>
    <row r="19" customFormat="false" ht="18" hidden="false" customHeight="true" outlineLevel="0" collapsed="false">
      <c r="B19" s="30" t="n">
        <v>4</v>
      </c>
      <c r="C19" s="31" t="s">
        <v>79</v>
      </c>
      <c r="D19" s="32" t="s">
        <v>80</v>
      </c>
      <c r="E19" s="33" t="n">
        <v>4</v>
      </c>
      <c r="F19" s="32" t="s">
        <v>81</v>
      </c>
      <c r="H19" s="30" t="n">
        <v>4</v>
      </c>
      <c r="I19" s="32" t="s">
        <v>82</v>
      </c>
      <c r="J19" s="32" t="s">
        <v>78</v>
      </c>
    </row>
    <row r="20" customFormat="false" ht="18" hidden="false" customHeight="true" outlineLevel="0" collapsed="false">
      <c r="B20" s="30" t="n">
        <v>5</v>
      </c>
      <c r="C20" s="31" t="s">
        <v>83</v>
      </c>
      <c r="D20" s="32" t="s">
        <v>80</v>
      </c>
      <c r="E20" s="33" t="n">
        <v>14</v>
      </c>
      <c r="F20" s="32" t="s">
        <v>84</v>
      </c>
      <c r="H20" s="30" t="n">
        <v>5</v>
      </c>
      <c r="I20" s="32" t="s">
        <v>85</v>
      </c>
      <c r="J20" s="32" t="s">
        <v>78</v>
      </c>
    </row>
    <row r="21" customFormat="false" ht="18" hidden="false" customHeight="true" outlineLevel="0" collapsed="false">
      <c r="B21" s="30" t="n">
        <v>6</v>
      </c>
      <c r="C21" s="31" t="s">
        <v>86</v>
      </c>
      <c r="D21" s="32" t="s">
        <v>80</v>
      </c>
      <c r="E21" s="33" t="n">
        <v>2</v>
      </c>
      <c r="F21" s="32" t="s">
        <v>87</v>
      </c>
      <c r="H21" s="30" t="n">
        <v>6</v>
      </c>
      <c r="I21" s="32" t="s">
        <v>88</v>
      </c>
      <c r="J21" s="32" t="s">
        <v>89</v>
      </c>
    </row>
    <row r="22" customFormat="false" ht="18" hidden="false" customHeight="true" outlineLevel="0" collapsed="false">
      <c r="B22" s="30" t="n">
        <v>7</v>
      </c>
      <c r="C22" s="31"/>
      <c r="D22" s="32"/>
      <c r="E22" s="33"/>
      <c r="F22" s="32"/>
      <c r="H22" s="30" t="n">
        <v>7</v>
      </c>
      <c r="I22" s="32" t="s">
        <v>90</v>
      </c>
      <c r="J22" s="32" t="s">
        <v>89</v>
      </c>
    </row>
    <row r="23" customFormat="false" ht="18" hidden="false" customHeight="true" outlineLevel="0" collapsed="false">
      <c r="B23" s="30" t="n">
        <v>8</v>
      </c>
      <c r="C23" s="31"/>
      <c r="D23" s="32"/>
      <c r="E23" s="33"/>
      <c r="F23" s="32"/>
      <c r="H23" s="30" t="n">
        <v>8</v>
      </c>
      <c r="I23" s="32" t="s">
        <v>91</v>
      </c>
      <c r="J23" s="32" t="s">
        <v>92</v>
      </c>
    </row>
    <row r="24" customFormat="false" ht="18" hidden="false" customHeight="true" outlineLevel="0" collapsed="false">
      <c r="B24" s="30" t="n">
        <v>9</v>
      </c>
      <c r="C24" s="31"/>
      <c r="D24" s="32"/>
      <c r="E24" s="33"/>
      <c r="F24" s="32"/>
      <c r="H24" s="30" t="n">
        <v>9</v>
      </c>
      <c r="I24" s="32" t="s">
        <v>93</v>
      </c>
      <c r="J24" s="32" t="s">
        <v>94</v>
      </c>
    </row>
    <row r="25" customFormat="false" ht="18" hidden="false" customHeight="true" outlineLevel="0" collapsed="false">
      <c r="B25" s="30" t="n">
        <v>10</v>
      </c>
      <c r="C25" s="31"/>
      <c r="D25" s="32"/>
      <c r="E25" s="33"/>
      <c r="F25" s="32"/>
      <c r="H25" s="30" t="n">
        <v>10</v>
      </c>
      <c r="I25" s="32" t="s">
        <v>95</v>
      </c>
      <c r="J25" s="32" t="s">
        <v>94</v>
      </c>
    </row>
    <row r="26" customFormat="false" ht="18" hidden="false" customHeight="true" outlineLevel="0" collapsed="false">
      <c r="B26" s="30" t="n">
        <v>11</v>
      </c>
      <c r="C26" s="31"/>
      <c r="D26" s="32"/>
      <c r="E26" s="33"/>
      <c r="F26" s="32"/>
      <c r="H26" s="30" t="n">
        <v>11</v>
      </c>
      <c r="I26" s="32" t="s">
        <v>96</v>
      </c>
      <c r="J26" s="32" t="s">
        <v>78</v>
      </c>
    </row>
    <row r="27" customFormat="false" ht="18" hidden="false" customHeight="true" outlineLevel="0" collapsed="false">
      <c r="B27" s="30" t="n">
        <v>12</v>
      </c>
      <c r="C27" s="31"/>
      <c r="D27" s="32"/>
      <c r="E27" s="33"/>
      <c r="F27" s="32"/>
      <c r="H27" s="30" t="n">
        <v>12</v>
      </c>
      <c r="I27" s="32" t="s">
        <v>97</v>
      </c>
      <c r="J27" s="32" t="s">
        <v>89</v>
      </c>
    </row>
    <row r="28" customFormat="false" ht="18" hidden="false" customHeight="true" outlineLevel="0" collapsed="false">
      <c r="H28" s="30" t="n">
        <v>13</v>
      </c>
      <c r="I28" s="32" t="s">
        <v>98</v>
      </c>
      <c r="J28" s="32" t="s">
        <v>99</v>
      </c>
    </row>
    <row r="29" customFormat="false" ht="18" hidden="false" customHeight="true" outlineLevel="0" collapsed="false">
      <c r="C29" s="17" t="s">
        <v>100</v>
      </c>
      <c r="D29" s="17"/>
      <c r="E29" s="17"/>
      <c r="F29" s="17"/>
      <c r="H29" s="30" t="n">
        <v>14</v>
      </c>
      <c r="I29" s="32" t="s">
        <v>101</v>
      </c>
      <c r="J29" s="32" t="s">
        <v>78</v>
      </c>
    </row>
    <row r="30" customFormat="false" ht="18" hidden="false" customHeight="true" outlineLevel="0" collapsed="false">
      <c r="H30" s="30" t="n">
        <v>15</v>
      </c>
      <c r="I30" s="32" t="s">
        <v>102</v>
      </c>
      <c r="J30" s="32" t="s">
        <v>103</v>
      </c>
    </row>
    <row r="31" customFormat="false" ht="18" hidden="false" customHeight="true" outlineLevel="0" collapsed="false">
      <c r="H31" s="30" t="n">
        <v>16</v>
      </c>
      <c r="I31" s="32" t="s">
        <v>104</v>
      </c>
      <c r="J31" s="32" t="s">
        <v>105</v>
      </c>
    </row>
    <row r="32" customFormat="false" ht="18" hidden="false" customHeight="true" outlineLevel="0" collapsed="false">
      <c r="H32" s="30" t="n">
        <v>17</v>
      </c>
      <c r="I32" s="32" t="s">
        <v>106</v>
      </c>
      <c r="J32" s="32" t="s">
        <v>99</v>
      </c>
    </row>
    <row r="33" customFormat="false" ht="18" hidden="false" customHeight="true" outlineLevel="0" collapsed="false">
      <c r="H33" s="30" t="n">
        <v>18</v>
      </c>
      <c r="I33" s="32" t="s">
        <v>107</v>
      </c>
      <c r="J33" s="32" t="s">
        <v>105</v>
      </c>
    </row>
    <row r="34" customFormat="false" ht="18" hidden="false" customHeight="true" outlineLevel="0" collapsed="false">
      <c r="H34" s="30" t="n">
        <v>19</v>
      </c>
      <c r="I34" s="32" t="s">
        <v>108</v>
      </c>
      <c r="J34" s="32" t="s">
        <v>103</v>
      </c>
    </row>
    <row r="35" customFormat="false" ht="18" hidden="false" customHeight="true" outlineLevel="0" collapsed="false">
      <c r="H35" s="30" t="n">
        <v>20</v>
      </c>
      <c r="I35" s="32" t="s">
        <v>109</v>
      </c>
      <c r="J35" s="32" t="s">
        <v>71</v>
      </c>
    </row>
    <row r="36" customFormat="false" ht="18" hidden="false" customHeight="true" outlineLevel="0" collapsed="false">
      <c r="H36" s="30" t="n">
        <v>21</v>
      </c>
      <c r="I36" s="32"/>
      <c r="J36" s="32"/>
    </row>
    <row r="37" customFormat="false" ht="18" hidden="false" customHeight="true" outlineLevel="0" collapsed="false">
      <c r="H37" s="30" t="n">
        <v>22</v>
      </c>
      <c r="I37" s="32"/>
      <c r="J37" s="32"/>
    </row>
    <row r="38" customFormat="false" ht="18" hidden="false" customHeight="true" outlineLevel="0" collapsed="false">
      <c r="H38" s="30" t="n">
        <v>23</v>
      </c>
      <c r="I38" s="32"/>
      <c r="J38" s="32"/>
    </row>
    <row r="39" customFormat="false" ht="18" hidden="false" customHeight="true" outlineLevel="0" collapsed="false">
      <c r="H39" s="30" t="n">
        <v>24</v>
      </c>
      <c r="I39" s="32"/>
      <c r="J39" s="32"/>
    </row>
    <row r="40" customFormat="false" ht="18" hidden="false" customHeight="true" outlineLevel="0" collapsed="false">
      <c r="H40" s="30" t="n">
        <v>25</v>
      </c>
      <c r="I40" s="32"/>
      <c r="J40" s="32"/>
    </row>
    <row r="41" customFormat="false" ht="18" hidden="false" customHeight="true" outlineLevel="0" collapsed="false">
      <c r="H41" s="30" t="n">
        <v>26</v>
      </c>
      <c r="I41" s="32"/>
      <c r="J41" s="32"/>
    </row>
    <row r="42" customFormat="false" ht="18" hidden="false" customHeight="true" outlineLevel="0" collapsed="false">
      <c r="H42" s="30" t="n">
        <v>27</v>
      </c>
      <c r="I42" s="32"/>
      <c r="J42" s="32"/>
    </row>
    <row r="43" customFormat="false" ht="18" hidden="false" customHeight="true" outlineLevel="0" collapsed="false">
      <c r="H43" s="30" t="n">
        <v>28</v>
      </c>
      <c r="I43" s="32"/>
      <c r="J43" s="32"/>
    </row>
    <row r="44" customFormat="false" ht="18" hidden="false" customHeight="true" outlineLevel="0" collapsed="false">
      <c r="H44" s="30" t="n">
        <v>29</v>
      </c>
      <c r="I44" s="32"/>
      <c r="J44" s="32"/>
    </row>
    <row r="45" customFormat="false" ht="18" hidden="false" customHeight="true" outlineLevel="0" collapsed="false">
      <c r="H45" s="30" t="n">
        <v>30</v>
      </c>
      <c r="I45" s="32"/>
      <c r="J45" s="32"/>
    </row>
    <row r="46" customFormat="false" ht="18" hidden="false" customHeight="true" outlineLevel="0" collapsed="false"/>
    <row r="47" customFormat="false" ht="18" hidden="false" customHeight="true" outlineLevel="0" collapsed="false">
      <c r="I47" s="17" t="s">
        <v>110</v>
      </c>
      <c r="J47" s="17"/>
    </row>
    <row r="48" customFormat="false" ht="18" hidden="false" customHeight="true" outlineLevel="0" collapsed="false"/>
  </sheetData>
  <mergeCells count="22">
    <mergeCell ref="B1:J1"/>
    <mergeCell ref="B3:J3"/>
    <mergeCell ref="B5:F5"/>
    <mergeCell ref="L5:L12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4:F14"/>
    <mergeCell ref="H14:J14"/>
    <mergeCell ref="C29:F29"/>
    <mergeCell ref="I47:J4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B5D2E"/>
    <pageSetUpPr fitToPage="false"/>
  </sheetPr>
  <dimension ref="A1:L21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8" topLeftCell="A9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13"/>
    <col collapsed="false" customWidth="true" hidden="false" outlineLevel="0" max="3" min="3" style="0" width="16"/>
    <col collapsed="false" customWidth="true" hidden="false" outlineLevel="0" max="5" min="4" style="0" width="9"/>
    <col collapsed="false" customWidth="true" hidden="false" outlineLevel="0" max="6" min="6" style="0" width="18"/>
    <col collapsed="false" customWidth="true" hidden="false" outlineLevel="0" max="7" min="7" style="0" width="24"/>
    <col collapsed="false" customWidth="true" hidden="false" outlineLevel="0" max="8" min="8" style="0" width="10"/>
    <col collapsed="false" customWidth="true" hidden="false" outlineLevel="0" max="9" min="9" style="0" width="13"/>
    <col collapsed="false" customWidth="true" hidden="false" outlineLevel="0" max="10" min="10" style="0" width="8"/>
    <col collapsed="false" customWidth="true" hidden="false" outlineLevel="0" max="12" min="11" style="0" width="15"/>
    <col collapsed="false" customWidth="true" hidden="false" outlineLevel="0" max="13" min="13" style="0" width="3"/>
  </cols>
  <sheetData>
    <row r="1" customFormat="false" ht="24" hidden="false" customHeight="true" outlineLevel="0" collapsed="false">
      <c r="A1" s="34" t="s">
        <v>111</v>
      </c>
      <c r="B1" s="34"/>
      <c r="C1" s="34"/>
      <c r="D1" s="34"/>
      <c r="E1" s="34"/>
      <c r="F1" s="34"/>
      <c r="G1" s="34"/>
      <c r="H1" s="35" t="s">
        <v>112</v>
      </c>
      <c r="I1" s="35"/>
      <c r="J1" s="35"/>
      <c r="K1" s="35"/>
      <c r="L1" s="35"/>
    </row>
    <row r="2" customFormat="false" ht="25.5" hidden="false" customHeight="true" outlineLevel="0" collapsed="false">
      <c r="A2" s="36" t="s">
        <v>113</v>
      </c>
      <c r="B2" s="36"/>
      <c r="C2" s="36"/>
      <c r="D2" s="36"/>
      <c r="E2" s="36"/>
      <c r="F2" s="36"/>
      <c r="G2" s="36"/>
      <c r="H2" s="37" t="s">
        <v>114</v>
      </c>
      <c r="I2" s="37"/>
      <c r="J2" s="37"/>
      <c r="K2" s="37"/>
      <c r="L2" s="37"/>
    </row>
    <row r="3" customFormat="false" ht="9.75" hidden="false" customHeight="true" outlineLevel="0" collapsed="false"/>
    <row r="4" customFormat="false" ht="15.75" hidden="false" customHeight="true" outlineLevel="0" collapsed="false">
      <c r="A4" s="38" t="s">
        <v>115</v>
      </c>
      <c r="B4" s="38"/>
      <c r="C4" s="38" t="s">
        <v>116</v>
      </c>
      <c r="D4" s="38"/>
      <c r="E4" s="38" t="s">
        <v>117</v>
      </c>
      <c r="F4" s="38"/>
      <c r="G4" s="38" t="s">
        <v>118</v>
      </c>
      <c r="H4" s="38"/>
      <c r="I4" s="38" t="s">
        <v>119</v>
      </c>
      <c r="J4" s="38"/>
      <c r="K4" s="38" t="s">
        <v>120</v>
      </c>
      <c r="L4" s="38"/>
    </row>
    <row r="5" customFormat="false" ht="25.5" hidden="false" customHeight="true" outlineLevel="0" collapsed="false">
      <c r="A5" s="39" t="n">
        <f aca="false">COUNTIF(BkStatus,"?*")</f>
        <v>120</v>
      </c>
      <c r="B5" s="39"/>
      <c r="C5" s="40" t="n">
        <f aca="false">SUM(BkHours)</f>
        <v>103.5</v>
      </c>
      <c r="D5" s="40"/>
      <c r="E5" s="41" t="n">
        <f aca="false">IF(TotalRooms*BookableHours=0,0,SUM(BkHours)/(TotalRooms*BookableHours*10))</f>
        <v>0.215625</v>
      </c>
      <c r="F5" s="41"/>
      <c r="G5" s="39" t="n">
        <f aca="false">COUNTIF(BkStatus,"Conflict")</f>
        <v>0</v>
      </c>
      <c r="H5" s="39"/>
      <c r="I5" s="39" t="n">
        <f aca="false">COUNTIF(BkStatus,"Check times")+COUNTIF(BkStatus,"Outside range")+COUNTIF(BkStatus,"Unknown room")+COUNTIF(BkFit,"Over capacity")</f>
        <v>0</v>
      </c>
      <c r="J5" s="39"/>
      <c r="K5" s="39" t="n">
        <f aca="false">COUNTIF(BkShow,"No-show")</f>
        <v>7</v>
      </c>
      <c r="L5" s="39"/>
    </row>
    <row r="6" customFormat="false" ht="9.75" hidden="false" customHeight="true" outlineLevel="0" collapsed="false"/>
    <row r="7" customFormat="false" ht="21.75" hidden="false" customHeight="true" outlineLevel="0" collapsed="false">
      <c r="A7" s="5" t="s">
        <v>121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customFormat="false" ht="24" hidden="false" customHeight="true" outlineLevel="0" collapsed="false">
      <c r="A8" s="42" t="s">
        <v>60</v>
      </c>
      <c r="B8" s="42" t="s">
        <v>122</v>
      </c>
      <c r="C8" s="43" t="s">
        <v>123</v>
      </c>
      <c r="D8" s="42" t="s">
        <v>124</v>
      </c>
      <c r="E8" s="42" t="s">
        <v>125</v>
      </c>
      <c r="F8" s="43" t="s">
        <v>126</v>
      </c>
      <c r="G8" s="43" t="s">
        <v>127</v>
      </c>
      <c r="H8" s="42" t="s">
        <v>128</v>
      </c>
      <c r="I8" s="42" t="s">
        <v>129</v>
      </c>
      <c r="J8" s="42" t="s">
        <v>130</v>
      </c>
      <c r="K8" s="42" t="s">
        <v>131</v>
      </c>
      <c r="L8" s="42" t="s">
        <v>132</v>
      </c>
    </row>
    <row r="9" customFormat="false" ht="16.5" hidden="false" customHeight="true" outlineLevel="0" collapsed="false">
      <c r="A9" s="44" t="n">
        <v>1</v>
      </c>
      <c r="B9" s="45" t="n">
        <f aca="false">Lists!$B$2</f>
        <v>46237</v>
      </c>
      <c r="C9" s="46" t="s">
        <v>83</v>
      </c>
      <c r="D9" s="47" t="n">
        <v>0.375</v>
      </c>
      <c r="E9" s="47" t="n">
        <v>0.416666666666667</v>
      </c>
      <c r="F9" s="46" t="s">
        <v>106</v>
      </c>
      <c r="G9" s="46" t="s">
        <v>133</v>
      </c>
      <c r="H9" s="48" t="n">
        <v>2</v>
      </c>
      <c r="I9" s="49" t="s">
        <v>134</v>
      </c>
      <c r="J9" s="50" t="n">
        <f aca="false">IF(OR($D9="",$E9="",Lists!$AB9&lt;=Lists!$AA9),"",(Lists!$AB9-Lists!$AA9)/60)</f>
        <v>1</v>
      </c>
      <c r="K9" s="51" t="str">
        <f aca="false">IF(COUNTA($B9:$E9)&lt;4,"",IF(Lists!$AB9&lt;=Lists!$AA9,"Check times",IF(COUNTIF(BookingDates,$B9)=0,"Outside range",IF(COUNTIF(RoomList,$C9)=0,"Unknown room",IF(SUMPRODUCT((BkRoom=$C9)*(BkDate=$B9)*(BkStartMin&lt;Lists!$AB9)*(BkEndMin&gt;Lists!$AA9))&gt;1,"Conflict","OK")))))</f>
        <v>OK</v>
      </c>
      <c r="L9" s="52" t="str">
        <f aca="false">IF(OR($C9="",$H9="",Lists!$Z9=""),"",IF($H9&gt;Lists!$Z9,"Over capacity",IF(AND($H9*2&lt;=Lists!$Z9,Lists!$Z9-$H9&gt;=4),"Oversized room","Good fit")))</f>
        <v>Oversized room</v>
      </c>
    </row>
    <row r="10" customFormat="false" ht="16.5" hidden="false" customHeight="true" outlineLevel="0" collapsed="false">
      <c r="A10" s="44" t="n">
        <v>2</v>
      </c>
      <c r="B10" s="45" t="n">
        <f aca="false">Lists!$B$2</f>
        <v>46237</v>
      </c>
      <c r="C10" s="46" t="s">
        <v>86</v>
      </c>
      <c r="D10" s="47" t="n">
        <v>0.375</v>
      </c>
      <c r="E10" s="47" t="n">
        <v>0.416666666666667</v>
      </c>
      <c r="F10" s="46" t="s">
        <v>74</v>
      </c>
      <c r="G10" s="46" t="s">
        <v>135</v>
      </c>
      <c r="H10" s="48" t="n">
        <v>2</v>
      </c>
      <c r="I10" s="49" t="s">
        <v>134</v>
      </c>
      <c r="J10" s="50" t="n">
        <f aca="false">IF(OR($D10="",$E10="",Lists!$AB10&lt;=Lists!$AA10),"",(Lists!$AB10-Lists!$AA10)/60)</f>
        <v>1</v>
      </c>
      <c r="K10" s="51" t="str">
        <f aca="false">IF(COUNTA($B10:$E10)&lt;4,"",IF(Lists!$AB10&lt;=Lists!$AA10,"Check times",IF(COUNTIF(BookingDates,$B10)=0,"Outside range",IF(COUNTIF(RoomList,$C10)=0,"Unknown room",IF(SUMPRODUCT((BkRoom=$C10)*(BkDate=$B10)*(BkStartMin&lt;Lists!$AB10)*(BkEndMin&gt;Lists!$AA10))&gt;1,"Conflict","OK")))))</f>
        <v>OK</v>
      </c>
      <c r="L10" s="52" t="str">
        <f aca="false">IF(OR($C10="",$H10="",Lists!$Z10=""),"",IF($H10&gt;Lists!$Z10,"Over capacity",IF(AND($H10*2&lt;=Lists!$Z10,Lists!$Z10-$H10&gt;=4),"Oversized room","Good fit")))</f>
        <v>Good fit</v>
      </c>
    </row>
    <row r="11" customFormat="false" ht="16.5" hidden="false" customHeight="true" outlineLevel="0" collapsed="false">
      <c r="A11" s="44" t="n">
        <v>3</v>
      </c>
      <c r="B11" s="45" t="n">
        <f aca="false">Lists!$B$2</f>
        <v>46237</v>
      </c>
      <c r="C11" s="46" t="s">
        <v>86</v>
      </c>
      <c r="D11" s="47" t="n">
        <v>0.416666666666667</v>
      </c>
      <c r="E11" s="47" t="n">
        <v>0.4375</v>
      </c>
      <c r="F11" s="46" t="s">
        <v>97</v>
      </c>
      <c r="G11" s="46" t="s">
        <v>135</v>
      </c>
      <c r="H11" s="48" t="n">
        <v>2</v>
      </c>
      <c r="I11" s="49" t="s">
        <v>134</v>
      </c>
      <c r="J11" s="50" t="n">
        <f aca="false">IF(OR($D11="",$E11="",Lists!$AB11&lt;=Lists!$AA11),"",(Lists!$AB11-Lists!$AA11)/60)</f>
        <v>0.5</v>
      </c>
      <c r="K11" s="51" t="str">
        <f aca="false">IF(COUNTA($B11:$E11)&lt;4,"",IF(Lists!$AB11&lt;=Lists!$AA11,"Check times",IF(COUNTIF(BookingDates,$B11)=0,"Outside range",IF(COUNTIF(RoomList,$C11)=0,"Unknown room",IF(SUMPRODUCT((BkRoom=$C11)*(BkDate=$B11)*(BkStartMin&lt;Lists!$AB11)*(BkEndMin&gt;Lists!$AA11))&gt;1,"Conflict","OK")))))</f>
        <v>OK</v>
      </c>
      <c r="L11" s="52" t="str">
        <f aca="false">IF(OR($C11="",$H11="",Lists!$Z11=""),"",IF($H11&gt;Lists!$Z11,"Over capacity",IF(AND($H11*2&lt;=Lists!$Z11,Lists!$Z11-$H11&gt;=4),"Oversized room","Good fit")))</f>
        <v>Good fit</v>
      </c>
    </row>
    <row r="12" customFormat="false" ht="16.5" hidden="false" customHeight="true" outlineLevel="0" collapsed="false">
      <c r="A12" s="44" t="n">
        <v>4</v>
      </c>
      <c r="B12" s="45" t="n">
        <f aca="false">Lists!$B$2</f>
        <v>46237</v>
      </c>
      <c r="C12" s="46" t="s">
        <v>72</v>
      </c>
      <c r="D12" s="47" t="n">
        <v>0.4375</v>
      </c>
      <c r="E12" s="47" t="n">
        <v>0.479166666666667</v>
      </c>
      <c r="F12" s="46" t="s">
        <v>109</v>
      </c>
      <c r="G12" s="46" t="s">
        <v>133</v>
      </c>
      <c r="H12" s="48" t="n">
        <v>2</v>
      </c>
      <c r="I12" s="49" t="s">
        <v>134</v>
      </c>
      <c r="J12" s="50" t="n">
        <f aca="false">IF(OR($D12="",$E12="",Lists!$AB12&lt;=Lists!$AA12),"",(Lists!$AB12-Lists!$AA12)/60)</f>
        <v>1</v>
      </c>
      <c r="K12" s="51" t="str">
        <f aca="false">IF(COUNTA($B12:$E12)&lt;4,"",IF(Lists!$AB12&lt;=Lists!$AA12,"Check times",IF(COUNTIF(BookingDates,$B12)=0,"Outside range",IF(COUNTIF(RoomList,$C12)=0,"Unknown room",IF(SUMPRODUCT((BkRoom=$C12)*(BkDate=$B12)*(BkStartMin&lt;Lists!$AB12)*(BkEndMin&gt;Lists!$AA12))&gt;1,"Conflict","OK")))))</f>
        <v>OK</v>
      </c>
      <c r="L12" s="52" t="str">
        <f aca="false">IF(OR($C12="",$H12="",Lists!$Z12=""),"",IF($H12&gt;Lists!$Z12,"Over capacity",IF(AND($H12*2&lt;=Lists!$Z12,Lists!$Z12-$H12&gt;=4),"Oversized room","Good fit")))</f>
        <v>Oversized room</v>
      </c>
    </row>
    <row r="13" customFormat="false" ht="16.5" hidden="false" customHeight="true" outlineLevel="0" collapsed="false">
      <c r="A13" s="44" t="n">
        <v>5</v>
      </c>
      <c r="B13" s="45" t="n">
        <f aca="false">Lists!$B$2</f>
        <v>46237</v>
      </c>
      <c r="C13" s="46" t="s">
        <v>83</v>
      </c>
      <c r="D13" s="47" t="n">
        <v>0.4375</v>
      </c>
      <c r="E13" s="47" t="n">
        <v>0.458333333333333</v>
      </c>
      <c r="F13" s="46" t="s">
        <v>88</v>
      </c>
      <c r="G13" s="46" t="s">
        <v>136</v>
      </c>
      <c r="H13" s="48" t="n">
        <v>7</v>
      </c>
      <c r="I13" s="49" t="s">
        <v>134</v>
      </c>
      <c r="J13" s="50" t="n">
        <f aca="false">IF(OR($D13="",$E13="",Lists!$AB13&lt;=Lists!$AA13),"",(Lists!$AB13-Lists!$AA13)/60)</f>
        <v>0.5</v>
      </c>
      <c r="K13" s="51" t="str">
        <f aca="false">IF(COUNTA($B13:$E13)&lt;4,"",IF(Lists!$AB13&lt;=Lists!$AA13,"Check times",IF(COUNTIF(BookingDates,$B13)=0,"Outside range",IF(COUNTIF(RoomList,$C13)=0,"Unknown room",IF(SUMPRODUCT((BkRoom=$C13)*(BkDate=$B13)*(BkStartMin&lt;Lists!$AB13)*(BkEndMin&gt;Lists!$AA13))&gt;1,"Conflict","OK")))))</f>
        <v>OK</v>
      </c>
      <c r="L13" s="52" t="str">
        <f aca="false">IF(OR($C13="",$H13="",Lists!$Z13=""),"",IF($H13&gt;Lists!$Z13,"Over capacity",IF(AND($H13*2&lt;=Lists!$Z13,Lists!$Z13-$H13&gt;=4),"Oversized room","Good fit")))</f>
        <v>Oversized room</v>
      </c>
    </row>
    <row r="14" customFormat="false" ht="16.5" hidden="false" customHeight="true" outlineLevel="0" collapsed="false">
      <c r="A14" s="44" t="n">
        <v>6</v>
      </c>
      <c r="B14" s="45" t="n">
        <f aca="false">Lists!$B$2</f>
        <v>46237</v>
      </c>
      <c r="C14" s="46" t="s">
        <v>86</v>
      </c>
      <c r="D14" s="47" t="n">
        <v>0.4375</v>
      </c>
      <c r="E14" s="47" t="n">
        <v>0.458333333333333</v>
      </c>
      <c r="F14" s="46" t="s">
        <v>98</v>
      </c>
      <c r="G14" s="46" t="s">
        <v>135</v>
      </c>
      <c r="H14" s="48" t="n">
        <v>2</v>
      </c>
      <c r="I14" s="49" t="s">
        <v>134</v>
      </c>
      <c r="J14" s="50" t="n">
        <f aca="false">IF(OR($D14="",$E14="",Lists!$AB14&lt;=Lists!$AA14),"",(Lists!$AB14-Lists!$AA14)/60)</f>
        <v>0.5</v>
      </c>
      <c r="K14" s="51" t="str">
        <f aca="false">IF(COUNTA($B14:$E14)&lt;4,"",IF(Lists!$AB14&lt;=Lists!$AA14,"Check times",IF(COUNTIF(BookingDates,$B14)=0,"Outside range",IF(COUNTIF(RoomList,$C14)=0,"Unknown room",IF(SUMPRODUCT((BkRoom=$C14)*(BkDate=$B14)*(BkStartMin&lt;Lists!$AB14)*(BkEndMin&gt;Lists!$AA14))&gt;1,"Conflict","OK")))))</f>
        <v>OK</v>
      </c>
      <c r="L14" s="52" t="str">
        <f aca="false">IF(OR($C14="",$H14="",Lists!$Z14=""),"",IF($H14&gt;Lists!$Z14,"Over capacity",IF(AND($H14*2&lt;=Lists!$Z14,Lists!$Z14-$H14&gt;=4),"Oversized room","Good fit")))</f>
        <v>Good fit</v>
      </c>
    </row>
    <row r="15" customFormat="false" ht="16.5" hidden="false" customHeight="true" outlineLevel="0" collapsed="false">
      <c r="A15" s="44" t="n">
        <v>7</v>
      </c>
      <c r="B15" s="45" t="n">
        <f aca="false">Lists!$B$2</f>
        <v>46237</v>
      </c>
      <c r="C15" s="46" t="s">
        <v>79</v>
      </c>
      <c r="D15" s="47" t="n">
        <v>0.458333333333333</v>
      </c>
      <c r="E15" s="47" t="n">
        <v>0.5</v>
      </c>
      <c r="F15" s="46" t="s">
        <v>88</v>
      </c>
      <c r="G15" s="46" t="s">
        <v>137</v>
      </c>
      <c r="H15" s="48" t="n">
        <v>2</v>
      </c>
      <c r="I15" s="49" t="s">
        <v>134</v>
      </c>
      <c r="J15" s="50" t="n">
        <f aca="false">IF(OR($D15="",$E15="",Lists!$AB15&lt;=Lists!$AA15),"",(Lists!$AB15-Lists!$AA15)/60)</f>
        <v>1</v>
      </c>
      <c r="K15" s="51" t="str">
        <f aca="false">IF(COUNTA($B15:$E15)&lt;4,"",IF(Lists!$AB15&lt;=Lists!$AA15,"Check times",IF(COUNTIF(BookingDates,$B15)=0,"Outside range",IF(COUNTIF(RoomList,$C15)=0,"Unknown room",IF(SUMPRODUCT((BkRoom=$C15)*(BkDate=$B15)*(BkStartMin&lt;Lists!$AB15)*(BkEndMin&gt;Lists!$AA15))&gt;1,"Conflict","OK")))))</f>
        <v>OK</v>
      </c>
      <c r="L15" s="52" t="str">
        <f aca="false">IF(OR($C15="",$H15="",Lists!$Z15=""),"",IF($H15&gt;Lists!$Z15,"Over capacity",IF(AND($H15*2&lt;=Lists!$Z15,Lists!$Z15-$H15&gt;=4),"Oversized room","Good fit")))</f>
        <v>Good fit</v>
      </c>
    </row>
    <row r="16" customFormat="false" ht="16.5" hidden="false" customHeight="true" outlineLevel="0" collapsed="false">
      <c r="A16" s="44" t="n">
        <v>8</v>
      </c>
      <c r="B16" s="45" t="n">
        <f aca="false">Lists!$B$2</f>
        <v>46237</v>
      </c>
      <c r="C16" s="46" t="s">
        <v>86</v>
      </c>
      <c r="D16" s="47" t="n">
        <v>0.5</v>
      </c>
      <c r="E16" s="47" t="n">
        <v>0.520833333333333</v>
      </c>
      <c r="F16" s="46" t="s">
        <v>95</v>
      </c>
      <c r="G16" s="46" t="s">
        <v>135</v>
      </c>
      <c r="H16" s="48" t="n">
        <v>2</v>
      </c>
      <c r="I16" s="49" t="s">
        <v>134</v>
      </c>
      <c r="J16" s="50" t="n">
        <f aca="false">IF(OR($D16="",$E16="",Lists!$AB16&lt;=Lists!$AA16),"",(Lists!$AB16-Lists!$AA16)/60)</f>
        <v>0.5</v>
      </c>
      <c r="K16" s="51" t="str">
        <f aca="false">IF(COUNTA($B16:$E16)&lt;4,"",IF(Lists!$AB16&lt;=Lists!$AA16,"Check times",IF(COUNTIF(BookingDates,$B16)=0,"Outside range",IF(COUNTIF(RoomList,$C16)=0,"Unknown room",IF(SUMPRODUCT((BkRoom=$C16)*(BkDate=$B16)*(BkStartMin&lt;Lists!$AB16)*(BkEndMin&gt;Lists!$AA16))&gt;1,"Conflict","OK")))))</f>
        <v>OK</v>
      </c>
      <c r="L16" s="52" t="str">
        <f aca="false">IF(OR($C16="",$H16="",Lists!$Z16=""),"",IF($H16&gt;Lists!$Z16,"Over capacity",IF(AND($H16*2&lt;=Lists!$Z16,Lists!$Z16-$H16&gt;=4),"Oversized room","Good fit")))</f>
        <v>Good fit</v>
      </c>
    </row>
    <row r="17" customFormat="false" ht="16.5" hidden="false" customHeight="true" outlineLevel="0" collapsed="false">
      <c r="A17" s="44" t="n">
        <v>9</v>
      </c>
      <c r="B17" s="45" t="n">
        <f aca="false">Lists!$B$2</f>
        <v>46237</v>
      </c>
      <c r="C17" s="46" t="s">
        <v>72</v>
      </c>
      <c r="D17" s="47" t="n">
        <v>0.583333333333333</v>
      </c>
      <c r="E17" s="47" t="n">
        <v>0.604166666666667</v>
      </c>
      <c r="F17" s="46" t="s">
        <v>106</v>
      </c>
      <c r="G17" s="46" t="s">
        <v>138</v>
      </c>
      <c r="H17" s="48" t="n">
        <v>6</v>
      </c>
      <c r="I17" s="49" t="s">
        <v>134</v>
      </c>
      <c r="J17" s="50" t="n">
        <f aca="false">IF(OR($D17="",$E17="",Lists!$AB17&lt;=Lists!$AA17),"",(Lists!$AB17-Lists!$AA17)/60)</f>
        <v>0.5</v>
      </c>
      <c r="K17" s="51" t="str">
        <f aca="false">IF(COUNTA($B17:$E17)&lt;4,"",IF(Lists!$AB17&lt;=Lists!$AA17,"Check times",IF(COUNTIF(BookingDates,$B17)=0,"Outside range",IF(COUNTIF(RoomList,$C17)=0,"Unknown room",IF(SUMPRODUCT((BkRoom=$C17)*(BkDate=$B17)*(BkStartMin&lt;Lists!$AB17)*(BkEndMin&gt;Lists!$AA17))&gt;1,"Conflict","OK")))))</f>
        <v>OK</v>
      </c>
      <c r="L17" s="52" t="str">
        <f aca="false">IF(OR($C17="",$H17="",Lists!$Z17=""),"",IF($H17&gt;Lists!$Z17,"Over capacity",IF(AND($H17*2&lt;=Lists!$Z17,Lists!$Z17-$H17&gt;=4),"Oversized room","Good fit")))</f>
        <v>Good fit</v>
      </c>
    </row>
    <row r="18" customFormat="false" ht="16.5" hidden="false" customHeight="true" outlineLevel="0" collapsed="false">
      <c r="A18" s="44" t="n">
        <v>10</v>
      </c>
      <c r="B18" s="45" t="n">
        <f aca="false">Lists!$B$2</f>
        <v>46237</v>
      </c>
      <c r="C18" s="46" t="s">
        <v>86</v>
      </c>
      <c r="D18" s="47" t="n">
        <v>0.583333333333333</v>
      </c>
      <c r="E18" s="47" t="n">
        <v>0.604166666666667</v>
      </c>
      <c r="F18" s="46" t="s">
        <v>102</v>
      </c>
      <c r="G18" s="46" t="s">
        <v>139</v>
      </c>
      <c r="H18" s="48" t="n">
        <v>2</v>
      </c>
      <c r="I18" s="49" t="s">
        <v>134</v>
      </c>
      <c r="J18" s="50" t="n">
        <f aca="false">IF(OR($D18="",$E18="",Lists!$AB18&lt;=Lists!$AA18),"",(Lists!$AB18-Lists!$AA18)/60)</f>
        <v>0.5</v>
      </c>
      <c r="K18" s="51" t="str">
        <f aca="false">IF(COUNTA($B18:$E18)&lt;4,"",IF(Lists!$AB18&lt;=Lists!$AA18,"Check times",IF(COUNTIF(BookingDates,$B18)=0,"Outside range",IF(COUNTIF(RoomList,$C18)=0,"Unknown room",IF(SUMPRODUCT((BkRoom=$C18)*(BkDate=$B18)*(BkStartMin&lt;Lists!$AB18)*(BkEndMin&gt;Lists!$AA18))&gt;1,"Conflict","OK")))))</f>
        <v>OK</v>
      </c>
      <c r="L18" s="52" t="str">
        <f aca="false">IF(OR($C18="",$H18="",Lists!$Z18=""),"",IF($H18&gt;Lists!$Z18,"Over capacity",IF(AND($H18*2&lt;=Lists!$Z18,Lists!$Z18-$H18&gt;=4),"Oversized room","Good fit")))</f>
        <v>Good fit</v>
      </c>
    </row>
    <row r="19" customFormat="false" ht="16.5" hidden="false" customHeight="true" outlineLevel="0" collapsed="false">
      <c r="A19" s="44" t="n">
        <v>11</v>
      </c>
      <c r="B19" s="45" t="n">
        <f aca="false">Lists!$B$2</f>
        <v>46237</v>
      </c>
      <c r="C19" s="46" t="s">
        <v>79</v>
      </c>
      <c r="D19" s="47" t="n">
        <v>0.604166666666667</v>
      </c>
      <c r="E19" s="47" t="n">
        <v>0.625</v>
      </c>
      <c r="F19" s="46" t="s">
        <v>74</v>
      </c>
      <c r="G19" s="46" t="s">
        <v>135</v>
      </c>
      <c r="H19" s="48" t="n">
        <v>2</v>
      </c>
      <c r="I19" s="49" t="s">
        <v>134</v>
      </c>
      <c r="J19" s="50" t="n">
        <f aca="false">IF(OR($D19="",$E19="",Lists!$AB19&lt;=Lists!$AA19),"",(Lists!$AB19-Lists!$AA19)/60)</f>
        <v>0.5</v>
      </c>
      <c r="K19" s="51" t="str">
        <f aca="false">IF(COUNTA($B19:$E19)&lt;4,"",IF(Lists!$AB19&lt;=Lists!$AA19,"Check times",IF(COUNTIF(BookingDates,$B19)=0,"Outside range",IF(COUNTIF(RoomList,$C19)=0,"Unknown room",IF(SUMPRODUCT((BkRoom=$C19)*(BkDate=$B19)*(BkStartMin&lt;Lists!$AB19)*(BkEndMin&gt;Lists!$AA19))&gt;1,"Conflict","OK")))))</f>
        <v>OK</v>
      </c>
      <c r="L19" s="52" t="str">
        <f aca="false">IF(OR($C19="",$H19="",Lists!$Z19=""),"",IF($H19&gt;Lists!$Z19,"Over capacity",IF(AND($H19*2&lt;=Lists!$Z19,Lists!$Z19-$H19&gt;=4),"Oversized room","Good fit")))</f>
        <v>Good fit</v>
      </c>
    </row>
    <row r="20" customFormat="false" ht="16.5" hidden="false" customHeight="true" outlineLevel="0" collapsed="false">
      <c r="A20" s="44" t="n">
        <v>12</v>
      </c>
      <c r="B20" s="45" t="n">
        <f aca="false">Lists!$B$2</f>
        <v>46237</v>
      </c>
      <c r="C20" s="46" t="s">
        <v>86</v>
      </c>
      <c r="D20" s="47" t="n">
        <v>0.604166666666667</v>
      </c>
      <c r="E20" s="47" t="n">
        <v>0.625</v>
      </c>
      <c r="F20" s="46" t="s">
        <v>101</v>
      </c>
      <c r="G20" s="46" t="s">
        <v>139</v>
      </c>
      <c r="H20" s="48" t="n">
        <v>2</v>
      </c>
      <c r="I20" s="49" t="s">
        <v>134</v>
      </c>
      <c r="J20" s="50" t="n">
        <f aca="false">IF(OR($D20="",$E20="",Lists!$AB20&lt;=Lists!$AA20),"",(Lists!$AB20-Lists!$AA20)/60)</f>
        <v>0.5</v>
      </c>
      <c r="K20" s="51" t="str">
        <f aca="false">IF(COUNTA($B20:$E20)&lt;4,"",IF(Lists!$AB20&lt;=Lists!$AA20,"Check times",IF(COUNTIF(BookingDates,$B20)=0,"Outside range",IF(COUNTIF(RoomList,$C20)=0,"Unknown room",IF(SUMPRODUCT((BkRoom=$C20)*(BkDate=$B20)*(BkStartMin&lt;Lists!$AB20)*(BkEndMin&gt;Lists!$AA20))&gt;1,"Conflict","OK")))))</f>
        <v>OK</v>
      </c>
      <c r="L20" s="52" t="str">
        <f aca="false">IF(OR($C20="",$H20="",Lists!$Z20=""),"",IF($H20&gt;Lists!$Z20,"Over capacity",IF(AND($H20*2&lt;=Lists!$Z20,Lists!$Z20-$H20&gt;=4),"Oversized room","Good fit")))</f>
        <v>Good fit</v>
      </c>
    </row>
    <row r="21" customFormat="false" ht="16.5" hidden="false" customHeight="true" outlineLevel="0" collapsed="false">
      <c r="A21" s="44" t="n">
        <v>13</v>
      </c>
      <c r="B21" s="45" t="n">
        <f aca="false">Lists!$C$2</f>
        <v>46238</v>
      </c>
      <c r="C21" s="46" t="s">
        <v>86</v>
      </c>
      <c r="D21" s="47" t="n">
        <v>0.395833333333333</v>
      </c>
      <c r="E21" s="47" t="n">
        <v>0.416666666666667</v>
      </c>
      <c r="F21" s="46" t="s">
        <v>91</v>
      </c>
      <c r="G21" s="46" t="s">
        <v>135</v>
      </c>
      <c r="H21" s="48" t="n">
        <v>2</v>
      </c>
      <c r="I21" s="49" t="s">
        <v>134</v>
      </c>
      <c r="J21" s="50" t="n">
        <f aca="false">IF(OR($D21="",$E21="",Lists!$AB21&lt;=Lists!$AA21),"",(Lists!$AB21-Lists!$AA21)/60)</f>
        <v>0.5</v>
      </c>
      <c r="K21" s="51" t="str">
        <f aca="false">IF(COUNTA($B21:$E21)&lt;4,"",IF(Lists!$AB21&lt;=Lists!$AA21,"Check times",IF(COUNTIF(BookingDates,$B21)=0,"Outside range",IF(COUNTIF(RoomList,$C21)=0,"Unknown room",IF(SUMPRODUCT((BkRoom=$C21)*(BkDate=$B21)*(BkStartMin&lt;Lists!$AB21)*(BkEndMin&gt;Lists!$AA21))&gt;1,"Conflict","OK")))))</f>
        <v>OK</v>
      </c>
      <c r="L21" s="52" t="str">
        <f aca="false">IF(OR($C21="",$H21="",Lists!$Z21=""),"",IF($H21&gt;Lists!$Z21,"Over capacity",IF(AND($H21*2&lt;=Lists!$Z21,Lists!$Z21-$H21&gt;=4),"Oversized room","Good fit")))</f>
        <v>Good fit</v>
      </c>
    </row>
    <row r="22" customFormat="false" ht="16.5" hidden="false" customHeight="true" outlineLevel="0" collapsed="false">
      <c r="A22" s="44" t="n">
        <v>14</v>
      </c>
      <c r="B22" s="45" t="n">
        <f aca="false">Lists!$C$2</f>
        <v>46238</v>
      </c>
      <c r="C22" s="46" t="s">
        <v>67</v>
      </c>
      <c r="D22" s="47" t="n">
        <v>0.416666666666667</v>
      </c>
      <c r="E22" s="47" t="n">
        <v>0.479166666666667</v>
      </c>
      <c r="F22" s="46" t="s">
        <v>82</v>
      </c>
      <c r="G22" s="46" t="s">
        <v>139</v>
      </c>
      <c r="H22" s="48" t="n">
        <v>3</v>
      </c>
      <c r="I22" s="49" t="s">
        <v>134</v>
      </c>
      <c r="J22" s="50" t="n">
        <f aca="false">IF(OR($D22="",$E22="",Lists!$AB22&lt;=Lists!$AA22),"",(Lists!$AB22-Lists!$AA22)/60)</f>
        <v>1.5</v>
      </c>
      <c r="K22" s="51" t="str">
        <f aca="false">IF(COUNTA($B22:$E22)&lt;4,"",IF(Lists!$AB22&lt;=Lists!$AA22,"Check times",IF(COUNTIF(BookingDates,$B22)=0,"Outside range",IF(COUNTIF(RoomList,$C22)=0,"Unknown room",IF(SUMPRODUCT((BkRoom=$C22)*(BkDate=$B22)*(BkStartMin&lt;Lists!$AB22)*(BkEndMin&gt;Lists!$AA22))&gt;1,"Conflict","OK")))))</f>
        <v>OK</v>
      </c>
      <c r="L22" s="52" t="str">
        <f aca="false">IF(OR($C22="",$H22="",Lists!$Z22=""),"",IF($H22&gt;Lists!$Z22,"Over capacity",IF(AND($H22*2&lt;=Lists!$Z22,Lists!$Z22-$H22&gt;=4),"Oversized room","Good fit")))</f>
        <v>Oversized room</v>
      </c>
    </row>
    <row r="23" customFormat="false" ht="16.5" hidden="false" customHeight="true" outlineLevel="0" collapsed="false">
      <c r="A23" s="44" t="n">
        <v>15</v>
      </c>
      <c r="B23" s="45" t="n">
        <f aca="false">Lists!$C$2</f>
        <v>46238</v>
      </c>
      <c r="C23" s="46" t="s">
        <v>72</v>
      </c>
      <c r="D23" s="47" t="n">
        <v>0.416666666666667</v>
      </c>
      <c r="E23" s="47" t="n">
        <v>0.458333333333333</v>
      </c>
      <c r="F23" s="46" t="s">
        <v>74</v>
      </c>
      <c r="G23" s="46" t="s">
        <v>138</v>
      </c>
      <c r="H23" s="48" t="n">
        <v>6</v>
      </c>
      <c r="I23" s="49" t="s">
        <v>134</v>
      </c>
      <c r="J23" s="50" t="n">
        <f aca="false">IF(OR($D23="",$E23="",Lists!$AB23&lt;=Lists!$AA23),"",(Lists!$AB23-Lists!$AA23)/60)</f>
        <v>1</v>
      </c>
      <c r="K23" s="51" t="str">
        <f aca="false">IF(COUNTA($B23:$E23)&lt;4,"",IF(Lists!$AB23&lt;=Lists!$AA23,"Check times",IF(COUNTIF(BookingDates,$B23)=0,"Outside range",IF(COUNTIF(RoomList,$C23)=0,"Unknown room",IF(SUMPRODUCT((BkRoom=$C23)*(BkDate=$B23)*(BkStartMin&lt;Lists!$AB23)*(BkEndMin&gt;Lists!$AA23))&gt;1,"Conflict","OK")))))</f>
        <v>OK</v>
      </c>
      <c r="L23" s="52" t="str">
        <f aca="false">IF(OR($C23="",$H23="",Lists!$Z23=""),"",IF($H23&gt;Lists!$Z23,"Over capacity",IF(AND($H23*2&lt;=Lists!$Z23,Lists!$Z23-$H23&gt;=4),"Oversized room","Good fit")))</f>
        <v>Good fit</v>
      </c>
    </row>
    <row r="24" customFormat="false" ht="16.5" hidden="false" customHeight="true" outlineLevel="0" collapsed="false">
      <c r="A24" s="44" t="n">
        <v>16</v>
      </c>
      <c r="B24" s="45" t="n">
        <f aca="false">Lists!$C$2</f>
        <v>46238</v>
      </c>
      <c r="C24" s="46" t="s">
        <v>79</v>
      </c>
      <c r="D24" s="47" t="n">
        <v>0.4375</v>
      </c>
      <c r="E24" s="47" t="n">
        <v>0.479166666666667</v>
      </c>
      <c r="F24" s="46" t="s">
        <v>74</v>
      </c>
      <c r="G24" s="46" t="s">
        <v>133</v>
      </c>
      <c r="H24" s="48" t="n">
        <v>3</v>
      </c>
      <c r="I24" s="49" t="s">
        <v>134</v>
      </c>
      <c r="J24" s="50" t="n">
        <f aca="false">IF(OR($D24="",$E24="",Lists!$AB24&lt;=Lists!$AA24),"",(Lists!$AB24-Lists!$AA24)/60)</f>
        <v>1</v>
      </c>
      <c r="K24" s="51" t="str">
        <f aca="false">IF(COUNTA($B24:$E24)&lt;4,"",IF(Lists!$AB24&lt;=Lists!$AA24,"Check times",IF(COUNTIF(BookingDates,$B24)=0,"Outside range",IF(COUNTIF(RoomList,$C24)=0,"Unknown room",IF(SUMPRODUCT((BkRoom=$C24)*(BkDate=$B24)*(BkStartMin&lt;Lists!$AB24)*(BkEndMin&gt;Lists!$AA24))&gt;1,"Conflict","OK")))))</f>
        <v>OK</v>
      </c>
      <c r="L24" s="52" t="str">
        <f aca="false">IF(OR($C24="",$H24="",Lists!$Z24=""),"",IF($H24&gt;Lists!$Z24,"Over capacity",IF(AND($H24*2&lt;=Lists!$Z24,Lists!$Z24-$H24&gt;=4),"Oversized room","Good fit")))</f>
        <v>Good fit</v>
      </c>
    </row>
    <row r="25" customFormat="false" ht="16.5" hidden="false" customHeight="true" outlineLevel="0" collapsed="false">
      <c r="A25" s="44" t="n">
        <v>17</v>
      </c>
      <c r="B25" s="45" t="n">
        <f aca="false">Lists!$C$2</f>
        <v>46238</v>
      </c>
      <c r="C25" s="46" t="s">
        <v>83</v>
      </c>
      <c r="D25" s="47" t="n">
        <v>0.458333333333333</v>
      </c>
      <c r="E25" s="47" t="n">
        <v>0.520833333333333</v>
      </c>
      <c r="F25" s="46" t="s">
        <v>96</v>
      </c>
      <c r="G25" s="46" t="s">
        <v>140</v>
      </c>
      <c r="H25" s="48" t="n">
        <v>5</v>
      </c>
      <c r="I25" s="49" t="s">
        <v>134</v>
      </c>
      <c r="J25" s="50" t="n">
        <f aca="false">IF(OR($D25="",$E25="",Lists!$AB25&lt;=Lists!$AA25),"",(Lists!$AB25-Lists!$AA25)/60)</f>
        <v>1.5</v>
      </c>
      <c r="K25" s="51" t="str">
        <f aca="false">IF(COUNTA($B25:$E25)&lt;4,"",IF(Lists!$AB25&lt;=Lists!$AA25,"Check times",IF(COUNTIF(BookingDates,$B25)=0,"Outside range",IF(COUNTIF(RoomList,$C25)=0,"Unknown room",IF(SUMPRODUCT((BkRoom=$C25)*(BkDate=$B25)*(BkStartMin&lt;Lists!$AB25)*(BkEndMin&gt;Lists!$AA25))&gt;1,"Conflict","OK")))))</f>
        <v>OK</v>
      </c>
      <c r="L25" s="52" t="str">
        <f aca="false">IF(OR($C25="",$H25="",Lists!$Z25=""),"",IF($H25&gt;Lists!$Z25,"Over capacity",IF(AND($H25*2&lt;=Lists!$Z25,Lists!$Z25-$H25&gt;=4),"Oversized room","Good fit")))</f>
        <v>Oversized room</v>
      </c>
    </row>
    <row r="26" customFormat="false" ht="16.5" hidden="false" customHeight="true" outlineLevel="0" collapsed="false">
      <c r="A26" s="44" t="n">
        <v>18</v>
      </c>
      <c r="B26" s="45" t="n">
        <f aca="false">Lists!$C$2</f>
        <v>46238</v>
      </c>
      <c r="C26" s="46" t="s">
        <v>72</v>
      </c>
      <c r="D26" s="47" t="n">
        <v>0.479166666666667</v>
      </c>
      <c r="E26" s="47" t="n">
        <v>0.520833333333333</v>
      </c>
      <c r="F26" s="46" t="s">
        <v>70</v>
      </c>
      <c r="G26" s="46" t="s">
        <v>141</v>
      </c>
      <c r="H26" s="48" t="n">
        <v>5</v>
      </c>
      <c r="I26" s="49" t="s">
        <v>134</v>
      </c>
      <c r="J26" s="50" t="n">
        <f aca="false">IF(OR($D26="",$E26="",Lists!$AB26&lt;=Lists!$AA26),"",(Lists!$AB26-Lists!$AA26)/60)</f>
        <v>1</v>
      </c>
      <c r="K26" s="51" t="str">
        <f aca="false">IF(COUNTA($B26:$E26)&lt;4,"",IF(Lists!$AB26&lt;=Lists!$AA26,"Check times",IF(COUNTIF(BookingDates,$B26)=0,"Outside range",IF(COUNTIF(RoomList,$C26)=0,"Unknown room",IF(SUMPRODUCT((BkRoom=$C26)*(BkDate=$B26)*(BkStartMin&lt;Lists!$AB26)*(BkEndMin&gt;Lists!$AA26))&gt;1,"Conflict","OK")))))</f>
        <v>OK</v>
      </c>
      <c r="L26" s="52" t="str">
        <f aca="false">IF(OR($C26="",$H26="",Lists!$Z26=""),"",IF($H26&gt;Lists!$Z26,"Over capacity",IF(AND($H26*2&lt;=Lists!$Z26,Lists!$Z26-$H26&gt;=4),"Oversized room","Good fit")))</f>
        <v>Good fit</v>
      </c>
    </row>
    <row r="27" customFormat="false" ht="16.5" hidden="false" customHeight="true" outlineLevel="0" collapsed="false">
      <c r="A27" s="44" t="n">
        <v>19</v>
      </c>
      <c r="B27" s="45" t="n">
        <f aca="false">Lists!$C$2</f>
        <v>46238</v>
      </c>
      <c r="C27" s="46" t="s">
        <v>86</v>
      </c>
      <c r="D27" s="47" t="n">
        <v>0.5625</v>
      </c>
      <c r="E27" s="47" t="n">
        <v>0.604166666666667</v>
      </c>
      <c r="F27" s="46" t="s">
        <v>82</v>
      </c>
      <c r="G27" s="46" t="s">
        <v>139</v>
      </c>
      <c r="H27" s="48" t="n">
        <v>2</v>
      </c>
      <c r="I27" s="49" t="s">
        <v>134</v>
      </c>
      <c r="J27" s="50" t="n">
        <f aca="false">IF(OR($D27="",$E27="",Lists!$AB27&lt;=Lists!$AA27),"",(Lists!$AB27-Lists!$AA27)/60)</f>
        <v>1</v>
      </c>
      <c r="K27" s="51" t="str">
        <f aca="false">IF(COUNTA($B27:$E27)&lt;4,"",IF(Lists!$AB27&lt;=Lists!$AA27,"Check times",IF(COUNTIF(BookingDates,$B27)=0,"Outside range",IF(COUNTIF(RoomList,$C27)=0,"Unknown room",IF(SUMPRODUCT((BkRoom=$C27)*(BkDate=$B27)*(BkStartMin&lt;Lists!$AB27)*(BkEndMin&gt;Lists!$AA27))&gt;1,"Conflict","OK")))))</f>
        <v>OK</v>
      </c>
      <c r="L27" s="52" t="str">
        <f aca="false">IF(OR($C27="",$H27="",Lists!$Z27=""),"",IF($H27&gt;Lists!$Z27,"Over capacity",IF(AND($H27*2&lt;=Lists!$Z27,Lists!$Z27-$H27&gt;=4),"Oversized room","Good fit")))</f>
        <v>Good fit</v>
      </c>
    </row>
    <row r="28" customFormat="false" ht="16.5" hidden="false" customHeight="true" outlineLevel="0" collapsed="false">
      <c r="A28" s="44" t="n">
        <v>20</v>
      </c>
      <c r="B28" s="45" t="n">
        <f aca="false">Lists!$C$2</f>
        <v>46238</v>
      </c>
      <c r="C28" s="46" t="s">
        <v>67</v>
      </c>
      <c r="D28" s="47" t="n">
        <v>0.604166666666667</v>
      </c>
      <c r="E28" s="47" t="n">
        <v>0.6875</v>
      </c>
      <c r="F28" s="46" t="s">
        <v>90</v>
      </c>
      <c r="G28" s="46" t="s">
        <v>140</v>
      </c>
      <c r="H28" s="48" t="n">
        <v>3</v>
      </c>
      <c r="I28" s="49" t="s">
        <v>134</v>
      </c>
      <c r="J28" s="50" t="n">
        <f aca="false">IF(OR($D28="",$E28="",Lists!$AB28&lt;=Lists!$AA28),"",(Lists!$AB28-Lists!$AA28)/60)</f>
        <v>2</v>
      </c>
      <c r="K28" s="51" t="str">
        <f aca="false">IF(COUNTA($B28:$E28)&lt;4,"",IF(Lists!$AB28&lt;=Lists!$AA28,"Check times",IF(COUNTIF(BookingDates,$B28)=0,"Outside range",IF(COUNTIF(RoomList,$C28)=0,"Unknown room",IF(SUMPRODUCT((BkRoom=$C28)*(BkDate=$B28)*(BkStartMin&lt;Lists!$AB28)*(BkEndMin&gt;Lists!$AA28))&gt;1,"Conflict","OK")))))</f>
        <v>OK</v>
      </c>
      <c r="L28" s="52" t="str">
        <f aca="false">IF(OR($C28="",$H28="",Lists!$Z28=""),"",IF($H28&gt;Lists!$Z28,"Over capacity",IF(AND($H28*2&lt;=Lists!$Z28,Lists!$Z28-$H28&gt;=4),"Oversized room","Good fit")))</f>
        <v>Oversized room</v>
      </c>
    </row>
    <row r="29" customFormat="false" ht="16.5" hidden="false" customHeight="true" outlineLevel="0" collapsed="false">
      <c r="A29" s="44" t="n">
        <v>21</v>
      </c>
      <c r="B29" s="45" t="n">
        <f aca="false">Lists!$C$2</f>
        <v>46238</v>
      </c>
      <c r="C29" s="46" t="s">
        <v>72</v>
      </c>
      <c r="D29" s="47" t="n">
        <v>0.604166666666667</v>
      </c>
      <c r="E29" s="47" t="n">
        <v>0.645833333333333</v>
      </c>
      <c r="F29" s="46" t="s">
        <v>104</v>
      </c>
      <c r="G29" s="46" t="s">
        <v>133</v>
      </c>
      <c r="H29" s="48" t="n">
        <v>2</v>
      </c>
      <c r="I29" s="49" t="s">
        <v>134</v>
      </c>
      <c r="J29" s="50" t="n">
        <f aca="false">IF(OR($D29="",$E29="",Lists!$AB29&lt;=Lists!$AA29),"",(Lists!$AB29-Lists!$AA29)/60)</f>
        <v>1</v>
      </c>
      <c r="K29" s="51" t="str">
        <f aca="false">IF(COUNTA($B29:$E29)&lt;4,"",IF(Lists!$AB29&lt;=Lists!$AA29,"Check times",IF(COUNTIF(BookingDates,$B29)=0,"Outside range",IF(COUNTIF(RoomList,$C29)=0,"Unknown room",IF(SUMPRODUCT((BkRoom=$C29)*(BkDate=$B29)*(BkStartMin&lt;Lists!$AB29)*(BkEndMin&gt;Lists!$AA29))&gt;1,"Conflict","OK")))))</f>
        <v>OK</v>
      </c>
      <c r="L29" s="52" t="str">
        <f aca="false">IF(OR($C29="",$H29="",Lists!$Z29=""),"",IF($H29&gt;Lists!$Z29,"Over capacity",IF(AND($H29*2&lt;=Lists!$Z29,Lists!$Z29-$H29&gt;=4),"Oversized room","Good fit")))</f>
        <v>Oversized room</v>
      </c>
    </row>
    <row r="30" customFormat="false" ht="16.5" hidden="false" customHeight="true" outlineLevel="0" collapsed="false">
      <c r="A30" s="44" t="n">
        <v>22</v>
      </c>
      <c r="B30" s="45" t="n">
        <f aca="false">Lists!$C$2</f>
        <v>46238</v>
      </c>
      <c r="C30" s="46" t="s">
        <v>83</v>
      </c>
      <c r="D30" s="47" t="n">
        <v>0.604166666666667</v>
      </c>
      <c r="E30" s="47" t="n">
        <v>0.645833333333333</v>
      </c>
      <c r="F30" s="46" t="s">
        <v>102</v>
      </c>
      <c r="G30" s="46" t="s">
        <v>133</v>
      </c>
      <c r="H30" s="48" t="n">
        <v>3</v>
      </c>
      <c r="I30" s="49" t="s">
        <v>134</v>
      </c>
      <c r="J30" s="50" t="n">
        <f aca="false">IF(OR($D30="",$E30="",Lists!$AB30&lt;=Lists!$AA30),"",(Lists!$AB30-Lists!$AA30)/60)</f>
        <v>1</v>
      </c>
      <c r="K30" s="51" t="str">
        <f aca="false">IF(COUNTA($B30:$E30)&lt;4,"",IF(Lists!$AB30&lt;=Lists!$AA30,"Check times",IF(COUNTIF(BookingDates,$B30)=0,"Outside range",IF(COUNTIF(RoomList,$C30)=0,"Unknown room",IF(SUMPRODUCT((BkRoom=$C30)*(BkDate=$B30)*(BkStartMin&lt;Lists!$AB30)*(BkEndMin&gt;Lists!$AA30))&gt;1,"Conflict","OK")))))</f>
        <v>OK</v>
      </c>
      <c r="L30" s="52" t="str">
        <f aca="false">IF(OR($C30="",$H30="",Lists!$Z30=""),"",IF($H30&gt;Lists!$Z30,"Over capacity",IF(AND($H30*2&lt;=Lists!$Z30,Lists!$Z30-$H30&gt;=4),"Oversized room","Good fit")))</f>
        <v>Oversized room</v>
      </c>
    </row>
    <row r="31" customFormat="false" ht="16.5" hidden="false" customHeight="true" outlineLevel="0" collapsed="false">
      <c r="A31" s="44" t="n">
        <v>23</v>
      </c>
      <c r="B31" s="45" t="n">
        <f aca="false">Lists!$C$2</f>
        <v>46238</v>
      </c>
      <c r="C31" s="46" t="s">
        <v>83</v>
      </c>
      <c r="D31" s="47" t="n">
        <v>0.645833333333333</v>
      </c>
      <c r="E31" s="47" t="n">
        <v>0.666666666666667</v>
      </c>
      <c r="F31" s="46" t="s">
        <v>97</v>
      </c>
      <c r="G31" s="46" t="s">
        <v>140</v>
      </c>
      <c r="H31" s="48" t="n">
        <v>5</v>
      </c>
      <c r="I31" s="49" t="s">
        <v>134</v>
      </c>
      <c r="J31" s="50" t="n">
        <f aca="false">IF(OR($D31="",$E31="",Lists!$AB31&lt;=Lists!$AA31),"",(Lists!$AB31-Lists!$AA31)/60)</f>
        <v>0.5</v>
      </c>
      <c r="K31" s="51" t="str">
        <f aca="false">IF(COUNTA($B31:$E31)&lt;4,"",IF(Lists!$AB31&lt;=Lists!$AA31,"Check times",IF(COUNTIF(BookingDates,$B31)=0,"Outside range",IF(COUNTIF(RoomList,$C31)=0,"Unknown room",IF(SUMPRODUCT((BkRoom=$C31)*(BkDate=$B31)*(BkStartMin&lt;Lists!$AB31)*(BkEndMin&gt;Lists!$AA31))&gt;1,"Conflict","OK")))))</f>
        <v>OK</v>
      </c>
      <c r="L31" s="52" t="str">
        <f aca="false">IF(OR($C31="",$H31="",Lists!$Z31=""),"",IF($H31&gt;Lists!$Z31,"Over capacity",IF(AND($H31*2&lt;=Lists!$Z31,Lists!$Z31-$H31&gt;=4),"Oversized room","Good fit")))</f>
        <v>Oversized room</v>
      </c>
    </row>
    <row r="32" customFormat="false" ht="16.5" hidden="false" customHeight="true" outlineLevel="0" collapsed="false">
      <c r="A32" s="44" t="n">
        <v>24</v>
      </c>
      <c r="B32" s="45" t="n">
        <f aca="false">Lists!$C$2</f>
        <v>46238</v>
      </c>
      <c r="C32" s="46" t="s">
        <v>86</v>
      </c>
      <c r="D32" s="47" t="n">
        <v>0.645833333333333</v>
      </c>
      <c r="E32" s="47" t="n">
        <v>0.666666666666667</v>
      </c>
      <c r="F32" s="46" t="s">
        <v>70</v>
      </c>
      <c r="G32" s="46" t="s">
        <v>135</v>
      </c>
      <c r="H32" s="48" t="n">
        <v>2</v>
      </c>
      <c r="I32" s="49" t="s">
        <v>134</v>
      </c>
      <c r="J32" s="50" t="n">
        <f aca="false">IF(OR($D32="",$E32="",Lists!$AB32&lt;=Lists!$AA32),"",(Lists!$AB32-Lists!$AA32)/60)</f>
        <v>0.5</v>
      </c>
      <c r="K32" s="51" t="str">
        <f aca="false">IF(COUNTA($B32:$E32)&lt;4,"",IF(Lists!$AB32&lt;=Lists!$AA32,"Check times",IF(COUNTIF(BookingDates,$B32)=0,"Outside range",IF(COUNTIF(RoomList,$C32)=0,"Unknown room",IF(SUMPRODUCT((BkRoom=$C32)*(BkDate=$B32)*(BkStartMin&lt;Lists!$AB32)*(BkEndMin&gt;Lists!$AA32))&gt;1,"Conflict","OK")))))</f>
        <v>OK</v>
      </c>
      <c r="L32" s="52" t="str">
        <f aca="false">IF(OR($C32="",$H32="",Lists!$Z32=""),"",IF($H32&gt;Lists!$Z32,"Over capacity",IF(AND($H32*2&lt;=Lists!$Z32,Lists!$Z32-$H32&gt;=4),"Oversized room","Good fit")))</f>
        <v>Good fit</v>
      </c>
    </row>
    <row r="33" customFormat="false" ht="16.5" hidden="false" customHeight="true" outlineLevel="0" collapsed="false">
      <c r="A33" s="44" t="n">
        <v>25</v>
      </c>
      <c r="B33" s="45" t="n">
        <f aca="false">Lists!$D$2</f>
        <v>46239</v>
      </c>
      <c r="C33" s="46" t="s">
        <v>86</v>
      </c>
      <c r="D33" s="47" t="n">
        <v>0.416666666666667</v>
      </c>
      <c r="E33" s="47" t="n">
        <v>0.4375</v>
      </c>
      <c r="F33" s="46" t="s">
        <v>106</v>
      </c>
      <c r="G33" s="46" t="s">
        <v>142</v>
      </c>
      <c r="H33" s="48" t="n">
        <v>2</v>
      </c>
      <c r="I33" s="49" t="s">
        <v>134</v>
      </c>
      <c r="J33" s="50" t="n">
        <f aca="false">IF(OR($D33="",$E33="",Lists!$AB33&lt;=Lists!$AA33),"",(Lists!$AB33-Lists!$AA33)/60)</f>
        <v>0.5</v>
      </c>
      <c r="K33" s="51" t="str">
        <f aca="false">IF(COUNTA($B33:$E33)&lt;4,"",IF(Lists!$AB33&lt;=Lists!$AA33,"Check times",IF(COUNTIF(BookingDates,$B33)=0,"Outside range",IF(COUNTIF(RoomList,$C33)=0,"Unknown room",IF(SUMPRODUCT((BkRoom=$C33)*(BkDate=$B33)*(BkStartMin&lt;Lists!$AB33)*(BkEndMin&gt;Lists!$AA33))&gt;1,"Conflict","OK")))))</f>
        <v>OK</v>
      </c>
      <c r="L33" s="52" t="str">
        <f aca="false">IF(OR($C33="",$H33="",Lists!$Z33=""),"",IF($H33&gt;Lists!$Z33,"Over capacity",IF(AND($H33*2&lt;=Lists!$Z33,Lists!$Z33-$H33&gt;=4),"Oversized room","Good fit")))</f>
        <v>Good fit</v>
      </c>
    </row>
    <row r="34" customFormat="false" ht="16.5" hidden="false" customHeight="true" outlineLevel="0" collapsed="false">
      <c r="A34" s="44" t="n">
        <v>26</v>
      </c>
      <c r="B34" s="45" t="n">
        <f aca="false">Lists!$D$2</f>
        <v>46239</v>
      </c>
      <c r="C34" s="46" t="s">
        <v>67</v>
      </c>
      <c r="D34" s="47" t="n">
        <v>0.4375</v>
      </c>
      <c r="E34" s="47" t="n">
        <v>0.5</v>
      </c>
      <c r="F34" s="46" t="s">
        <v>93</v>
      </c>
      <c r="G34" s="46" t="s">
        <v>133</v>
      </c>
      <c r="H34" s="48" t="n">
        <v>3</v>
      </c>
      <c r="I34" s="49" t="s">
        <v>134</v>
      </c>
      <c r="J34" s="50" t="n">
        <f aca="false">IF(OR($D34="",$E34="",Lists!$AB34&lt;=Lists!$AA34),"",(Lists!$AB34-Lists!$AA34)/60)</f>
        <v>1.5</v>
      </c>
      <c r="K34" s="51" t="str">
        <f aca="false">IF(COUNTA($B34:$E34)&lt;4,"",IF(Lists!$AB34&lt;=Lists!$AA34,"Check times",IF(COUNTIF(BookingDates,$B34)=0,"Outside range",IF(COUNTIF(RoomList,$C34)=0,"Unknown room",IF(SUMPRODUCT((BkRoom=$C34)*(BkDate=$B34)*(BkStartMin&lt;Lists!$AB34)*(BkEndMin&gt;Lists!$AA34))&gt;1,"Conflict","OK")))))</f>
        <v>OK</v>
      </c>
      <c r="L34" s="52" t="str">
        <f aca="false">IF(OR($C34="",$H34="",Lists!$Z34=""),"",IF($H34&gt;Lists!$Z34,"Over capacity",IF(AND($H34*2&lt;=Lists!$Z34,Lists!$Z34-$H34&gt;=4),"Oversized room","Good fit")))</f>
        <v>Oversized room</v>
      </c>
    </row>
    <row r="35" customFormat="false" ht="16.5" hidden="false" customHeight="true" outlineLevel="0" collapsed="false">
      <c r="A35" s="44" t="n">
        <v>27</v>
      </c>
      <c r="B35" s="45" t="n">
        <f aca="false">Lists!$D$2</f>
        <v>46239</v>
      </c>
      <c r="C35" s="46" t="s">
        <v>86</v>
      </c>
      <c r="D35" s="47" t="n">
        <v>0.4375</v>
      </c>
      <c r="E35" s="47" t="n">
        <v>0.479166666666667</v>
      </c>
      <c r="F35" s="46" t="s">
        <v>98</v>
      </c>
      <c r="G35" s="46" t="s">
        <v>142</v>
      </c>
      <c r="H35" s="48" t="n">
        <v>2</v>
      </c>
      <c r="I35" s="49" t="s">
        <v>134</v>
      </c>
      <c r="J35" s="50" t="n">
        <f aca="false">IF(OR($D35="",$E35="",Lists!$AB35&lt;=Lists!$AA35),"",(Lists!$AB35-Lists!$AA35)/60)</f>
        <v>1</v>
      </c>
      <c r="K35" s="51" t="str">
        <f aca="false">IF(COUNTA($B35:$E35)&lt;4,"",IF(Lists!$AB35&lt;=Lists!$AA35,"Check times",IF(COUNTIF(BookingDates,$B35)=0,"Outside range",IF(COUNTIF(RoomList,$C35)=0,"Unknown room",IF(SUMPRODUCT((BkRoom=$C35)*(BkDate=$B35)*(BkStartMin&lt;Lists!$AB35)*(BkEndMin&gt;Lists!$AA35))&gt;1,"Conflict","OK")))))</f>
        <v>OK</v>
      </c>
      <c r="L35" s="52" t="str">
        <f aca="false">IF(OR($C35="",$H35="",Lists!$Z35=""),"",IF($H35&gt;Lists!$Z35,"Over capacity",IF(AND($H35*2&lt;=Lists!$Z35,Lists!$Z35-$H35&gt;=4),"Oversized room","Good fit")))</f>
        <v>Good fit</v>
      </c>
    </row>
    <row r="36" customFormat="false" ht="16.5" hidden="false" customHeight="true" outlineLevel="0" collapsed="false">
      <c r="A36" s="44" t="n">
        <v>28</v>
      </c>
      <c r="B36" s="45" t="n">
        <f aca="false">Lists!$D$2</f>
        <v>46239</v>
      </c>
      <c r="C36" s="46" t="s">
        <v>72</v>
      </c>
      <c r="D36" s="47" t="n">
        <v>0.458333333333333</v>
      </c>
      <c r="E36" s="47" t="n">
        <v>0.5</v>
      </c>
      <c r="F36" s="46" t="s">
        <v>90</v>
      </c>
      <c r="G36" s="46" t="s">
        <v>138</v>
      </c>
      <c r="H36" s="48" t="n">
        <v>5</v>
      </c>
      <c r="I36" s="49" t="s">
        <v>134</v>
      </c>
      <c r="J36" s="50" t="n">
        <f aca="false">IF(OR($D36="",$E36="",Lists!$AB36&lt;=Lists!$AA36),"",(Lists!$AB36-Lists!$AA36)/60)</f>
        <v>1</v>
      </c>
      <c r="K36" s="51" t="str">
        <f aca="false">IF(COUNTA($B36:$E36)&lt;4,"",IF(Lists!$AB36&lt;=Lists!$AA36,"Check times",IF(COUNTIF(BookingDates,$B36)=0,"Outside range",IF(COUNTIF(RoomList,$C36)=0,"Unknown room",IF(SUMPRODUCT((BkRoom=$C36)*(BkDate=$B36)*(BkStartMin&lt;Lists!$AB36)*(BkEndMin&gt;Lists!$AA36))&gt;1,"Conflict","OK")))))</f>
        <v>OK</v>
      </c>
      <c r="L36" s="52" t="str">
        <f aca="false">IF(OR($C36="",$H36="",Lists!$Z36=""),"",IF($H36&gt;Lists!$Z36,"Over capacity",IF(AND($H36*2&lt;=Lists!$Z36,Lists!$Z36-$H36&gt;=4),"Oversized room","Good fit")))</f>
        <v>Good fit</v>
      </c>
    </row>
    <row r="37" customFormat="false" ht="16.5" hidden="false" customHeight="true" outlineLevel="0" collapsed="false">
      <c r="A37" s="44" t="n">
        <v>29</v>
      </c>
      <c r="B37" s="45" t="n">
        <f aca="false">Lists!$D$2</f>
        <v>46239</v>
      </c>
      <c r="C37" s="46" t="s">
        <v>79</v>
      </c>
      <c r="D37" s="47" t="n">
        <v>0.458333333333333</v>
      </c>
      <c r="E37" s="47" t="n">
        <v>0.5</v>
      </c>
      <c r="F37" s="46" t="s">
        <v>106</v>
      </c>
      <c r="G37" s="46" t="s">
        <v>143</v>
      </c>
      <c r="H37" s="48" t="n">
        <v>4</v>
      </c>
      <c r="I37" s="49" t="s">
        <v>144</v>
      </c>
      <c r="J37" s="50" t="n">
        <f aca="false">IF(OR($D37="",$E37="",Lists!$AB37&lt;=Lists!$AA37),"",(Lists!$AB37-Lists!$AA37)/60)</f>
        <v>1</v>
      </c>
      <c r="K37" s="51" t="str">
        <f aca="false">IF(COUNTA($B37:$E37)&lt;4,"",IF(Lists!$AB37&lt;=Lists!$AA37,"Check times",IF(COUNTIF(BookingDates,$B37)=0,"Outside range",IF(COUNTIF(RoomList,$C37)=0,"Unknown room",IF(SUMPRODUCT((BkRoom=$C37)*(BkDate=$B37)*(BkStartMin&lt;Lists!$AB37)*(BkEndMin&gt;Lists!$AA37))&gt;1,"Conflict","OK")))))</f>
        <v>OK</v>
      </c>
      <c r="L37" s="52" t="str">
        <f aca="false">IF(OR($C37="",$H37="",Lists!$Z37=""),"",IF($H37&gt;Lists!$Z37,"Over capacity",IF(AND($H37*2&lt;=Lists!$Z37,Lists!$Z37-$H37&gt;=4),"Oversized room","Good fit")))</f>
        <v>Good fit</v>
      </c>
    </row>
    <row r="38" customFormat="false" ht="16.5" hidden="false" customHeight="true" outlineLevel="0" collapsed="false">
      <c r="A38" s="44" t="n">
        <v>30</v>
      </c>
      <c r="B38" s="45" t="n">
        <f aca="false">Lists!$D$2</f>
        <v>46239</v>
      </c>
      <c r="C38" s="46" t="s">
        <v>75</v>
      </c>
      <c r="D38" s="47" t="n">
        <v>0.5625</v>
      </c>
      <c r="E38" s="47" t="n">
        <v>0.604166666666667</v>
      </c>
      <c r="F38" s="46" t="s">
        <v>102</v>
      </c>
      <c r="G38" s="46" t="s">
        <v>133</v>
      </c>
      <c r="H38" s="48" t="n">
        <v>3</v>
      </c>
      <c r="I38" s="49" t="s">
        <v>134</v>
      </c>
      <c r="J38" s="50" t="n">
        <f aca="false">IF(OR($D38="",$E38="",Lists!$AB38&lt;=Lists!$AA38),"",(Lists!$AB38-Lists!$AA38)/60)</f>
        <v>1</v>
      </c>
      <c r="K38" s="51" t="str">
        <f aca="false">IF(COUNTA($B38:$E38)&lt;4,"",IF(Lists!$AB38&lt;=Lists!$AA38,"Check times",IF(COUNTIF(BookingDates,$B38)=0,"Outside range",IF(COUNTIF(RoomList,$C38)=0,"Unknown room",IF(SUMPRODUCT((BkRoom=$C38)*(BkDate=$B38)*(BkStartMin&lt;Lists!$AB38)*(BkEndMin&gt;Lists!$AA38))&gt;1,"Conflict","OK")))))</f>
        <v>OK</v>
      </c>
      <c r="L38" s="52" t="str">
        <f aca="false">IF(OR($C38="",$H38="",Lists!$Z38=""),"",IF($H38&gt;Lists!$Z38,"Over capacity",IF(AND($H38*2&lt;=Lists!$Z38,Lists!$Z38-$H38&gt;=4),"Oversized room","Good fit")))</f>
        <v>Good fit</v>
      </c>
    </row>
    <row r="39" customFormat="false" ht="16.5" hidden="false" customHeight="true" outlineLevel="0" collapsed="false">
      <c r="A39" s="44" t="n">
        <v>31</v>
      </c>
      <c r="B39" s="45" t="n">
        <f aca="false">Lists!$D$2</f>
        <v>46239</v>
      </c>
      <c r="C39" s="46" t="s">
        <v>86</v>
      </c>
      <c r="D39" s="47" t="n">
        <v>0.5625</v>
      </c>
      <c r="E39" s="47" t="n">
        <v>0.583333333333333</v>
      </c>
      <c r="F39" s="46" t="s">
        <v>77</v>
      </c>
      <c r="G39" s="46" t="s">
        <v>135</v>
      </c>
      <c r="H39" s="48" t="n">
        <v>2</v>
      </c>
      <c r="I39" s="49" t="s">
        <v>134</v>
      </c>
      <c r="J39" s="50" t="n">
        <f aca="false">IF(OR($D39="",$E39="",Lists!$AB39&lt;=Lists!$AA39),"",(Lists!$AB39-Lists!$AA39)/60)</f>
        <v>0.5</v>
      </c>
      <c r="K39" s="51" t="str">
        <f aca="false">IF(COUNTA($B39:$E39)&lt;4,"",IF(Lists!$AB39&lt;=Lists!$AA39,"Check times",IF(COUNTIF(BookingDates,$B39)=0,"Outside range",IF(COUNTIF(RoomList,$C39)=0,"Unknown room",IF(SUMPRODUCT((BkRoom=$C39)*(BkDate=$B39)*(BkStartMin&lt;Lists!$AB39)*(BkEndMin&gt;Lists!$AA39))&gt;1,"Conflict","OK")))))</f>
        <v>OK</v>
      </c>
      <c r="L39" s="52" t="str">
        <f aca="false">IF(OR($C39="",$H39="",Lists!$Z39=""),"",IF($H39&gt;Lists!$Z39,"Over capacity",IF(AND($H39*2&lt;=Lists!$Z39,Lists!$Z39-$H39&gt;=4),"Oversized room","Good fit")))</f>
        <v>Good fit</v>
      </c>
    </row>
    <row r="40" customFormat="false" ht="16.5" hidden="false" customHeight="true" outlineLevel="0" collapsed="false">
      <c r="A40" s="44" t="n">
        <v>32</v>
      </c>
      <c r="B40" s="45" t="n">
        <f aca="false">Lists!$D$2</f>
        <v>46239</v>
      </c>
      <c r="C40" s="46" t="s">
        <v>72</v>
      </c>
      <c r="D40" s="47" t="n">
        <v>0.583333333333333</v>
      </c>
      <c r="E40" s="47" t="n">
        <v>0.625</v>
      </c>
      <c r="F40" s="46" t="s">
        <v>74</v>
      </c>
      <c r="G40" s="46" t="s">
        <v>136</v>
      </c>
      <c r="H40" s="48" t="n">
        <v>8</v>
      </c>
      <c r="I40" s="49" t="s">
        <v>144</v>
      </c>
      <c r="J40" s="50" t="n">
        <f aca="false">IF(OR($D40="",$E40="",Lists!$AB40&lt;=Lists!$AA40),"",(Lists!$AB40-Lists!$AA40)/60)</f>
        <v>1</v>
      </c>
      <c r="K40" s="51" t="str">
        <f aca="false">IF(COUNTA($B40:$E40)&lt;4,"",IF(Lists!$AB40&lt;=Lists!$AA40,"Check times",IF(COUNTIF(BookingDates,$B40)=0,"Outside range",IF(COUNTIF(RoomList,$C40)=0,"Unknown room",IF(SUMPRODUCT((BkRoom=$C40)*(BkDate=$B40)*(BkStartMin&lt;Lists!$AB40)*(BkEndMin&gt;Lists!$AA40))&gt;1,"Conflict","OK")))))</f>
        <v>OK</v>
      </c>
      <c r="L40" s="52" t="str">
        <f aca="false">IF(OR($C40="",$H40="",Lists!$Z40=""),"",IF($H40&gt;Lists!$Z40,"Over capacity",IF(AND($H40*2&lt;=Lists!$Z40,Lists!$Z40-$H40&gt;=4),"Oversized room","Good fit")))</f>
        <v>Good fit</v>
      </c>
    </row>
    <row r="41" customFormat="false" ht="16.5" hidden="false" customHeight="true" outlineLevel="0" collapsed="false">
      <c r="A41" s="44" t="n">
        <v>33</v>
      </c>
      <c r="B41" s="45" t="n">
        <f aca="false">Lists!$D$2</f>
        <v>46239</v>
      </c>
      <c r="C41" s="46" t="s">
        <v>86</v>
      </c>
      <c r="D41" s="47" t="n">
        <v>0.583333333333333</v>
      </c>
      <c r="E41" s="47" t="n">
        <v>0.604166666666667</v>
      </c>
      <c r="F41" s="46" t="s">
        <v>82</v>
      </c>
      <c r="G41" s="46" t="s">
        <v>135</v>
      </c>
      <c r="H41" s="48" t="n">
        <v>2</v>
      </c>
      <c r="I41" s="49" t="s">
        <v>134</v>
      </c>
      <c r="J41" s="50" t="n">
        <f aca="false">IF(OR($D41="",$E41="",Lists!$AB41&lt;=Lists!$AA41),"",(Lists!$AB41-Lists!$AA41)/60)</f>
        <v>0.5</v>
      </c>
      <c r="K41" s="51" t="str">
        <f aca="false">IF(COUNTA($B41:$E41)&lt;4,"",IF(Lists!$AB41&lt;=Lists!$AA41,"Check times",IF(COUNTIF(BookingDates,$B41)=0,"Outside range",IF(COUNTIF(RoomList,$C41)=0,"Unknown room",IF(SUMPRODUCT((BkRoom=$C41)*(BkDate=$B41)*(BkStartMin&lt;Lists!$AB41)*(BkEndMin&gt;Lists!$AA41))&gt;1,"Conflict","OK")))))</f>
        <v>OK</v>
      </c>
      <c r="L41" s="52" t="str">
        <f aca="false">IF(OR($C41="",$H41="",Lists!$Z41=""),"",IF($H41&gt;Lists!$Z41,"Over capacity",IF(AND($H41*2&lt;=Lists!$Z41,Lists!$Z41-$H41&gt;=4),"Oversized room","Good fit")))</f>
        <v>Good fit</v>
      </c>
    </row>
    <row r="42" customFormat="false" ht="16.5" hidden="false" customHeight="true" outlineLevel="0" collapsed="false">
      <c r="A42" s="44" t="n">
        <v>34</v>
      </c>
      <c r="B42" s="45" t="n">
        <f aca="false">Lists!$D$2</f>
        <v>46239</v>
      </c>
      <c r="C42" s="46" t="s">
        <v>67</v>
      </c>
      <c r="D42" s="47" t="n">
        <v>0.604166666666667</v>
      </c>
      <c r="E42" s="47" t="n">
        <v>0.645833333333333</v>
      </c>
      <c r="F42" s="46" t="s">
        <v>74</v>
      </c>
      <c r="G42" s="46" t="s">
        <v>140</v>
      </c>
      <c r="H42" s="48" t="n">
        <v>4</v>
      </c>
      <c r="I42" s="49" t="s">
        <v>134</v>
      </c>
      <c r="J42" s="50" t="n">
        <f aca="false">IF(OR($D42="",$E42="",Lists!$AB42&lt;=Lists!$AA42),"",(Lists!$AB42-Lists!$AA42)/60)</f>
        <v>1</v>
      </c>
      <c r="K42" s="51" t="str">
        <f aca="false">IF(COUNTA($B42:$E42)&lt;4,"",IF(Lists!$AB42&lt;=Lists!$AA42,"Check times",IF(COUNTIF(BookingDates,$B42)=0,"Outside range",IF(COUNTIF(RoomList,$C42)=0,"Unknown room",IF(SUMPRODUCT((BkRoom=$C42)*(BkDate=$B42)*(BkStartMin&lt;Lists!$AB42)*(BkEndMin&gt;Lists!$AA42))&gt;1,"Conflict","OK")))))</f>
        <v>OK</v>
      </c>
      <c r="L42" s="52" t="str">
        <f aca="false">IF(OR($C42="",$H42="",Lists!$Z42=""),"",IF($H42&gt;Lists!$Z42,"Over capacity",IF(AND($H42*2&lt;=Lists!$Z42,Lists!$Z42-$H42&gt;=4),"Oversized room","Good fit")))</f>
        <v>Oversized room</v>
      </c>
    </row>
    <row r="43" customFormat="false" ht="16.5" hidden="false" customHeight="true" outlineLevel="0" collapsed="false">
      <c r="A43" s="44" t="n">
        <v>35</v>
      </c>
      <c r="B43" s="45" t="n">
        <f aca="false">Lists!$D$2</f>
        <v>46239</v>
      </c>
      <c r="C43" s="46" t="s">
        <v>83</v>
      </c>
      <c r="D43" s="47" t="n">
        <v>0.625</v>
      </c>
      <c r="E43" s="47" t="n">
        <v>0.666666666666667</v>
      </c>
      <c r="F43" s="46" t="s">
        <v>74</v>
      </c>
      <c r="G43" s="46" t="s">
        <v>133</v>
      </c>
      <c r="H43" s="48" t="n">
        <v>3</v>
      </c>
      <c r="I43" s="49" t="s">
        <v>134</v>
      </c>
      <c r="J43" s="50" t="n">
        <f aca="false">IF(OR($D43="",$E43="",Lists!$AB43&lt;=Lists!$AA43),"",(Lists!$AB43-Lists!$AA43)/60)</f>
        <v>1</v>
      </c>
      <c r="K43" s="51" t="str">
        <f aca="false">IF(COUNTA($B43:$E43)&lt;4,"",IF(Lists!$AB43&lt;=Lists!$AA43,"Check times",IF(COUNTIF(BookingDates,$B43)=0,"Outside range",IF(COUNTIF(RoomList,$C43)=0,"Unknown room",IF(SUMPRODUCT((BkRoom=$C43)*(BkDate=$B43)*(BkStartMin&lt;Lists!$AB43)*(BkEndMin&gt;Lists!$AA43))&gt;1,"Conflict","OK")))))</f>
        <v>OK</v>
      </c>
      <c r="L43" s="52" t="str">
        <f aca="false">IF(OR($C43="",$H43="",Lists!$Z43=""),"",IF($H43&gt;Lists!$Z43,"Over capacity",IF(AND($H43*2&lt;=Lists!$Z43,Lists!$Z43-$H43&gt;=4),"Oversized room","Good fit")))</f>
        <v>Oversized room</v>
      </c>
    </row>
    <row r="44" customFormat="false" ht="16.5" hidden="false" customHeight="true" outlineLevel="0" collapsed="false">
      <c r="A44" s="44" t="n">
        <v>36</v>
      </c>
      <c r="B44" s="45" t="n">
        <f aca="false">Lists!$D$2</f>
        <v>46239</v>
      </c>
      <c r="C44" s="46" t="s">
        <v>67</v>
      </c>
      <c r="D44" s="47" t="n">
        <v>0.645833333333333</v>
      </c>
      <c r="E44" s="47" t="n">
        <v>0.666666666666667</v>
      </c>
      <c r="F44" s="46" t="s">
        <v>104</v>
      </c>
      <c r="G44" s="46" t="s">
        <v>141</v>
      </c>
      <c r="H44" s="48" t="n">
        <v>7</v>
      </c>
      <c r="I44" s="49" t="s">
        <v>134</v>
      </c>
      <c r="J44" s="50" t="n">
        <f aca="false">IF(OR($D44="",$E44="",Lists!$AB44&lt;=Lists!$AA44),"",(Lists!$AB44-Lists!$AA44)/60)</f>
        <v>0.5</v>
      </c>
      <c r="K44" s="51" t="str">
        <f aca="false">IF(COUNTA($B44:$E44)&lt;4,"",IF(Lists!$AB44&lt;=Lists!$AA44,"Check times",IF(COUNTIF(BookingDates,$B44)=0,"Outside range",IF(COUNTIF(RoomList,$C44)=0,"Unknown room",IF(SUMPRODUCT((BkRoom=$C44)*(BkDate=$B44)*(BkStartMin&lt;Lists!$AB44)*(BkEndMin&gt;Lists!$AA44))&gt;1,"Conflict","OK")))))</f>
        <v>OK</v>
      </c>
      <c r="L44" s="52" t="str">
        <f aca="false">IF(OR($C44="",$H44="",Lists!$Z44=""),"",IF($H44&gt;Lists!$Z44,"Over capacity",IF(AND($H44*2&lt;=Lists!$Z44,Lists!$Z44-$H44&gt;=4),"Oversized room","Good fit")))</f>
        <v>Good fit</v>
      </c>
    </row>
    <row r="45" customFormat="false" ht="16.5" hidden="false" customHeight="true" outlineLevel="0" collapsed="false">
      <c r="A45" s="44" t="n">
        <v>37</v>
      </c>
      <c r="B45" s="45" t="n">
        <f aca="false">Lists!$E$2</f>
        <v>46240</v>
      </c>
      <c r="C45" s="46" t="s">
        <v>67</v>
      </c>
      <c r="D45" s="47" t="n">
        <v>0.395833333333333</v>
      </c>
      <c r="E45" s="47" t="n">
        <v>0.416666666666667</v>
      </c>
      <c r="F45" s="46" t="s">
        <v>93</v>
      </c>
      <c r="G45" s="46" t="s">
        <v>135</v>
      </c>
      <c r="H45" s="48" t="n">
        <v>2</v>
      </c>
      <c r="I45" s="49" t="s">
        <v>134</v>
      </c>
      <c r="J45" s="50" t="n">
        <f aca="false">IF(OR($D45="",$E45="",Lists!$AB45&lt;=Lists!$AA45),"",(Lists!$AB45-Lists!$AA45)/60)</f>
        <v>0.5</v>
      </c>
      <c r="K45" s="51" t="str">
        <f aca="false">IF(COUNTA($B45:$E45)&lt;4,"",IF(Lists!$AB45&lt;=Lists!$AA45,"Check times",IF(COUNTIF(BookingDates,$B45)=0,"Outside range",IF(COUNTIF(RoomList,$C45)=0,"Unknown room",IF(SUMPRODUCT((BkRoom=$C45)*(BkDate=$B45)*(BkStartMin&lt;Lists!$AB45)*(BkEndMin&gt;Lists!$AA45))&gt;1,"Conflict","OK")))))</f>
        <v>OK</v>
      </c>
      <c r="L45" s="52" t="str">
        <f aca="false">IF(OR($C45="",$H45="",Lists!$Z45=""),"",IF($H45&gt;Lists!$Z45,"Over capacity",IF(AND($H45*2&lt;=Lists!$Z45,Lists!$Z45-$H45&gt;=4),"Oversized room","Good fit")))</f>
        <v>Oversized room</v>
      </c>
    </row>
    <row r="46" customFormat="false" ht="16.5" hidden="false" customHeight="true" outlineLevel="0" collapsed="false">
      <c r="A46" s="44" t="n">
        <v>38</v>
      </c>
      <c r="B46" s="45" t="n">
        <f aca="false">Lists!$E$2</f>
        <v>46240</v>
      </c>
      <c r="C46" s="46" t="s">
        <v>83</v>
      </c>
      <c r="D46" s="47" t="n">
        <v>0.395833333333333</v>
      </c>
      <c r="E46" s="47" t="n">
        <v>0.4375</v>
      </c>
      <c r="F46" s="46" t="s">
        <v>104</v>
      </c>
      <c r="G46" s="46" t="s">
        <v>141</v>
      </c>
      <c r="H46" s="48" t="n">
        <v>5</v>
      </c>
      <c r="I46" s="49" t="s">
        <v>134</v>
      </c>
      <c r="J46" s="50" t="n">
        <f aca="false">IF(OR($D46="",$E46="",Lists!$AB46&lt;=Lists!$AA46),"",(Lists!$AB46-Lists!$AA46)/60)</f>
        <v>1</v>
      </c>
      <c r="K46" s="51" t="str">
        <f aca="false">IF(COUNTA($B46:$E46)&lt;4,"",IF(Lists!$AB46&lt;=Lists!$AA46,"Check times",IF(COUNTIF(BookingDates,$B46)=0,"Outside range",IF(COUNTIF(RoomList,$C46)=0,"Unknown room",IF(SUMPRODUCT((BkRoom=$C46)*(BkDate=$B46)*(BkStartMin&lt;Lists!$AB46)*(BkEndMin&gt;Lists!$AA46))&gt;1,"Conflict","OK")))))</f>
        <v>OK</v>
      </c>
      <c r="L46" s="52" t="str">
        <f aca="false">IF(OR($C46="",$H46="",Lists!$Z46=""),"",IF($H46&gt;Lists!$Z46,"Over capacity",IF(AND($H46*2&lt;=Lists!$Z46,Lists!$Z46-$H46&gt;=4),"Oversized room","Good fit")))</f>
        <v>Oversized room</v>
      </c>
    </row>
    <row r="47" customFormat="false" ht="16.5" hidden="false" customHeight="true" outlineLevel="0" collapsed="false">
      <c r="A47" s="44" t="n">
        <v>39</v>
      </c>
      <c r="B47" s="45" t="n">
        <f aca="false">Lists!$E$2</f>
        <v>46240</v>
      </c>
      <c r="C47" s="46" t="s">
        <v>67</v>
      </c>
      <c r="D47" s="47" t="n">
        <v>0.4375</v>
      </c>
      <c r="E47" s="47" t="n">
        <v>0.458333333333333</v>
      </c>
      <c r="F47" s="46" t="s">
        <v>97</v>
      </c>
      <c r="G47" s="46" t="s">
        <v>141</v>
      </c>
      <c r="H47" s="48" t="n">
        <v>6</v>
      </c>
      <c r="I47" s="49" t="s">
        <v>144</v>
      </c>
      <c r="J47" s="50" t="n">
        <f aca="false">IF(OR($D47="",$E47="",Lists!$AB47&lt;=Lists!$AA47),"",(Lists!$AB47-Lists!$AA47)/60)</f>
        <v>0.5</v>
      </c>
      <c r="K47" s="51" t="str">
        <f aca="false">IF(COUNTA($B47:$E47)&lt;4,"",IF(Lists!$AB47&lt;=Lists!$AA47,"Check times",IF(COUNTIF(BookingDates,$B47)=0,"Outside range",IF(COUNTIF(RoomList,$C47)=0,"Unknown room",IF(SUMPRODUCT((BkRoom=$C47)*(BkDate=$B47)*(BkStartMin&lt;Lists!$AB47)*(BkEndMin&gt;Lists!$AA47))&gt;1,"Conflict","OK")))))</f>
        <v>OK</v>
      </c>
      <c r="L47" s="52" t="str">
        <f aca="false">IF(OR($C47="",$H47="",Lists!$Z47=""),"",IF($H47&gt;Lists!$Z47,"Over capacity",IF(AND($H47*2&lt;=Lists!$Z47,Lists!$Z47-$H47&gt;=4),"Oversized room","Good fit")))</f>
        <v>Oversized room</v>
      </c>
    </row>
    <row r="48" customFormat="false" ht="16.5" hidden="false" customHeight="true" outlineLevel="0" collapsed="false">
      <c r="A48" s="44" t="n">
        <v>40</v>
      </c>
      <c r="B48" s="45" t="n">
        <f aca="false">Lists!$E$2</f>
        <v>46240</v>
      </c>
      <c r="C48" s="46" t="s">
        <v>72</v>
      </c>
      <c r="D48" s="47" t="n">
        <v>0.4375</v>
      </c>
      <c r="E48" s="47" t="n">
        <v>0.479166666666667</v>
      </c>
      <c r="F48" s="46" t="s">
        <v>95</v>
      </c>
      <c r="G48" s="46" t="s">
        <v>141</v>
      </c>
      <c r="H48" s="48" t="n">
        <v>4</v>
      </c>
      <c r="I48" s="49" t="s">
        <v>134</v>
      </c>
      <c r="J48" s="50" t="n">
        <f aca="false">IF(OR($D48="",$E48="",Lists!$AB48&lt;=Lists!$AA48),"",(Lists!$AB48-Lists!$AA48)/60)</f>
        <v>1</v>
      </c>
      <c r="K48" s="51" t="str">
        <f aca="false">IF(COUNTA($B48:$E48)&lt;4,"",IF(Lists!$AB48&lt;=Lists!$AA48,"Check times",IF(COUNTIF(BookingDates,$B48)=0,"Outside range",IF(COUNTIF(RoomList,$C48)=0,"Unknown room",IF(SUMPRODUCT((BkRoom=$C48)*(BkDate=$B48)*(BkStartMin&lt;Lists!$AB48)*(BkEndMin&gt;Lists!$AA48))&gt;1,"Conflict","OK")))))</f>
        <v>OK</v>
      </c>
      <c r="L48" s="52" t="str">
        <f aca="false">IF(OR($C48="",$H48="",Lists!$Z48=""),"",IF($H48&gt;Lists!$Z48,"Over capacity",IF(AND($H48*2&lt;=Lists!$Z48,Lists!$Z48-$H48&gt;=4),"Oversized room","Good fit")))</f>
        <v>Oversized room</v>
      </c>
    </row>
    <row r="49" customFormat="false" ht="16.5" hidden="false" customHeight="true" outlineLevel="0" collapsed="false">
      <c r="A49" s="44" t="n">
        <v>41</v>
      </c>
      <c r="B49" s="45" t="n">
        <f aca="false">Lists!$E$2</f>
        <v>46240</v>
      </c>
      <c r="C49" s="46" t="s">
        <v>79</v>
      </c>
      <c r="D49" s="47" t="n">
        <v>0.4375</v>
      </c>
      <c r="E49" s="47" t="n">
        <v>0.458333333333333</v>
      </c>
      <c r="F49" s="46" t="s">
        <v>90</v>
      </c>
      <c r="G49" s="46" t="s">
        <v>136</v>
      </c>
      <c r="H49" s="48" t="n">
        <v>4</v>
      </c>
      <c r="I49" s="49" t="s">
        <v>134</v>
      </c>
      <c r="J49" s="50" t="n">
        <f aca="false">IF(OR($D49="",$E49="",Lists!$AB49&lt;=Lists!$AA49),"",(Lists!$AB49-Lists!$AA49)/60)</f>
        <v>0.5</v>
      </c>
      <c r="K49" s="51" t="str">
        <f aca="false">IF(COUNTA($B49:$E49)&lt;4,"",IF(Lists!$AB49&lt;=Lists!$AA49,"Check times",IF(COUNTIF(BookingDates,$B49)=0,"Outside range",IF(COUNTIF(RoomList,$C49)=0,"Unknown room",IF(SUMPRODUCT((BkRoom=$C49)*(BkDate=$B49)*(BkStartMin&lt;Lists!$AB49)*(BkEndMin&gt;Lists!$AA49))&gt;1,"Conflict","OK")))))</f>
        <v>OK</v>
      </c>
      <c r="L49" s="52" t="str">
        <f aca="false">IF(OR($C49="",$H49="",Lists!$Z49=""),"",IF($H49&gt;Lists!$Z49,"Over capacity",IF(AND($H49*2&lt;=Lists!$Z49,Lists!$Z49-$H49&gt;=4),"Oversized room","Good fit")))</f>
        <v>Good fit</v>
      </c>
    </row>
    <row r="50" customFormat="false" ht="16.5" hidden="false" customHeight="true" outlineLevel="0" collapsed="false">
      <c r="A50" s="44" t="n">
        <v>42</v>
      </c>
      <c r="B50" s="45" t="n">
        <f aca="false">Lists!$E$2</f>
        <v>46240</v>
      </c>
      <c r="C50" s="46" t="s">
        <v>75</v>
      </c>
      <c r="D50" s="47" t="n">
        <v>0.458333333333333</v>
      </c>
      <c r="E50" s="47" t="n">
        <v>0.520833333333333</v>
      </c>
      <c r="F50" s="46" t="s">
        <v>77</v>
      </c>
      <c r="G50" s="46" t="s">
        <v>143</v>
      </c>
      <c r="H50" s="48" t="n">
        <v>4</v>
      </c>
      <c r="I50" s="49" t="s">
        <v>134</v>
      </c>
      <c r="J50" s="50" t="n">
        <f aca="false">IF(OR($D50="",$E50="",Lists!$AB50&lt;=Lists!$AA50),"",(Lists!$AB50-Lists!$AA50)/60)</f>
        <v>1.5</v>
      </c>
      <c r="K50" s="51" t="str">
        <f aca="false">IF(COUNTA($B50:$E50)&lt;4,"",IF(Lists!$AB50&lt;=Lists!$AA50,"Check times",IF(COUNTIF(BookingDates,$B50)=0,"Outside range",IF(COUNTIF(RoomList,$C50)=0,"Unknown room",IF(SUMPRODUCT((BkRoom=$C50)*(BkDate=$B50)*(BkStartMin&lt;Lists!$AB50)*(BkEndMin&gt;Lists!$AA50))&gt;1,"Conflict","OK")))))</f>
        <v>OK</v>
      </c>
      <c r="L50" s="52" t="str">
        <f aca="false">IF(OR($C50="",$H50="",Lists!$Z50=""),"",IF($H50&gt;Lists!$Z50,"Over capacity",IF(AND($H50*2&lt;=Lists!$Z50,Lists!$Z50-$H50&gt;=4),"Oversized room","Good fit")))</f>
        <v>Good fit</v>
      </c>
    </row>
    <row r="51" customFormat="false" ht="16.5" hidden="false" customHeight="true" outlineLevel="0" collapsed="false">
      <c r="A51" s="44" t="n">
        <v>43</v>
      </c>
      <c r="B51" s="45" t="n">
        <f aca="false">Lists!$E$2</f>
        <v>46240</v>
      </c>
      <c r="C51" s="46" t="s">
        <v>67</v>
      </c>
      <c r="D51" s="47" t="n">
        <v>0.541666666666667</v>
      </c>
      <c r="E51" s="47" t="n">
        <v>0.583333333333333</v>
      </c>
      <c r="F51" s="46" t="s">
        <v>74</v>
      </c>
      <c r="G51" s="46" t="s">
        <v>133</v>
      </c>
      <c r="H51" s="48" t="n">
        <v>3</v>
      </c>
      <c r="I51" s="49" t="s">
        <v>134</v>
      </c>
      <c r="J51" s="50" t="n">
        <f aca="false">IF(OR($D51="",$E51="",Lists!$AB51&lt;=Lists!$AA51),"",(Lists!$AB51-Lists!$AA51)/60)</f>
        <v>1</v>
      </c>
      <c r="K51" s="51" t="str">
        <f aca="false">IF(COUNTA($B51:$E51)&lt;4,"",IF(Lists!$AB51&lt;=Lists!$AA51,"Check times",IF(COUNTIF(BookingDates,$B51)=0,"Outside range",IF(COUNTIF(RoomList,$C51)=0,"Unknown room",IF(SUMPRODUCT((BkRoom=$C51)*(BkDate=$B51)*(BkStartMin&lt;Lists!$AB51)*(BkEndMin&gt;Lists!$AA51))&gt;1,"Conflict","OK")))))</f>
        <v>OK</v>
      </c>
      <c r="L51" s="52" t="str">
        <f aca="false">IF(OR($C51="",$H51="",Lists!$Z51=""),"",IF($H51&gt;Lists!$Z51,"Over capacity",IF(AND($H51*2&lt;=Lists!$Z51,Lists!$Z51-$H51&gt;=4),"Oversized room","Good fit")))</f>
        <v>Oversized room</v>
      </c>
    </row>
    <row r="52" customFormat="false" ht="16.5" hidden="false" customHeight="true" outlineLevel="0" collapsed="false">
      <c r="A52" s="44" t="n">
        <v>44</v>
      </c>
      <c r="B52" s="45" t="n">
        <f aca="false">Lists!$E$2</f>
        <v>46240</v>
      </c>
      <c r="C52" s="46" t="s">
        <v>67</v>
      </c>
      <c r="D52" s="47" t="n">
        <v>0.583333333333333</v>
      </c>
      <c r="E52" s="47" t="n">
        <v>0.625</v>
      </c>
      <c r="F52" s="46" t="s">
        <v>109</v>
      </c>
      <c r="G52" s="46" t="s">
        <v>140</v>
      </c>
      <c r="H52" s="48" t="n">
        <v>3</v>
      </c>
      <c r="I52" s="49" t="s">
        <v>134</v>
      </c>
      <c r="J52" s="50" t="n">
        <f aca="false">IF(OR($D52="",$E52="",Lists!$AB52&lt;=Lists!$AA52),"",(Lists!$AB52-Lists!$AA52)/60)</f>
        <v>1</v>
      </c>
      <c r="K52" s="51" t="str">
        <f aca="false">IF(COUNTA($B52:$E52)&lt;4,"",IF(Lists!$AB52&lt;=Lists!$AA52,"Check times",IF(COUNTIF(BookingDates,$B52)=0,"Outside range",IF(COUNTIF(RoomList,$C52)=0,"Unknown room",IF(SUMPRODUCT((BkRoom=$C52)*(BkDate=$B52)*(BkStartMin&lt;Lists!$AB52)*(BkEndMin&gt;Lists!$AA52))&gt;1,"Conflict","OK")))))</f>
        <v>OK</v>
      </c>
      <c r="L52" s="52" t="str">
        <f aca="false">IF(OR($C52="",$H52="",Lists!$Z52=""),"",IF($H52&gt;Lists!$Z52,"Over capacity",IF(AND($H52*2&lt;=Lists!$Z52,Lists!$Z52-$H52&gt;=4),"Oversized room","Good fit")))</f>
        <v>Oversized room</v>
      </c>
    </row>
    <row r="53" customFormat="false" ht="16.5" hidden="false" customHeight="true" outlineLevel="0" collapsed="false">
      <c r="A53" s="44" t="n">
        <v>45</v>
      </c>
      <c r="B53" s="45" t="n">
        <f aca="false">Lists!$E$2</f>
        <v>46240</v>
      </c>
      <c r="C53" s="46" t="s">
        <v>67</v>
      </c>
      <c r="D53" s="47" t="n">
        <v>0.625</v>
      </c>
      <c r="E53" s="47" t="n">
        <v>0.6875</v>
      </c>
      <c r="F53" s="46" t="s">
        <v>108</v>
      </c>
      <c r="G53" s="46" t="s">
        <v>141</v>
      </c>
      <c r="H53" s="48" t="n">
        <v>6</v>
      </c>
      <c r="I53" s="49" t="s">
        <v>144</v>
      </c>
      <c r="J53" s="50" t="n">
        <f aca="false">IF(OR($D53="",$E53="",Lists!$AB53&lt;=Lists!$AA53),"",(Lists!$AB53-Lists!$AA53)/60)</f>
        <v>1.5</v>
      </c>
      <c r="K53" s="51" t="str">
        <f aca="false">IF(COUNTA($B53:$E53)&lt;4,"",IF(Lists!$AB53&lt;=Lists!$AA53,"Check times",IF(COUNTIF(BookingDates,$B53)=0,"Outside range",IF(COUNTIF(RoomList,$C53)=0,"Unknown room",IF(SUMPRODUCT((BkRoom=$C53)*(BkDate=$B53)*(BkStartMin&lt;Lists!$AB53)*(BkEndMin&gt;Lists!$AA53))&gt;1,"Conflict","OK")))))</f>
        <v>OK</v>
      </c>
      <c r="L53" s="52" t="str">
        <f aca="false">IF(OR($C53="",$H53="",Lists!$Z53=""),"",IF($H53&gt;Lists!$Z53,"Over capacity",IF(AND($H53*2&lt;=Lists!$Z53,Lists!$Z53-$H53&gt;=4),"Oversized room","Good fit")))</f>
        <v>Oversized room</v>
      </c>
    </row>
    <row r="54" customFormat="false" ht="16.5" hidden="false" customHeight="true" outlineLevel="0" collapsed="false">
      <c r="A54" s="44" t="n">
        <v>46</v>
      </c>
      <c r="B54" s="45" t="n">
        <f aca="false">Lists!$E$2</f>
        <v>46240</v>
      </c>
      <c r="C54" s="46" t="s">
        <v>72</v>
      </c>
      <c r="D54" s="47" t="n">
        <v>0.625</v>
      </c>
      <c r="E54" s="47" t="n">
        <v>0.666666666666667</v>
      </c>
      <c r="F54" s="46" t="s">
        <v>88</v>
      </c>
      <c r="G54" s="46" t="s">
        <v>145</v>
      </c>
      <c r="H54" s="48" t="n">
        <v>8</v>
      </c>
      <c r="I54" s="49" t="s">
        <v>134</v>
      </c>
      <c r="J54" s="50" t="n">
        <f aca="false">IF(OR($D54="",$E54="",Lists!$AB54&lt;=Lists!$AA54),"",(Lists!$AB54-Lists!$AA54)/60)</f>
        <v>1</v>
      </c>
      <c r="K54" s="51" t="str">
        <f aca="false">IF(COUNTA($B54:$E54)&lt;4,"",IF(Lists!$AB54&lt;=Lists!$AA54,"Check times",IF(COUNTIF(BookingDates,$B54)=0,"Outside range",IF(COUNTIF(RoomList,$C54)=0,"Unknown room",IF(SUMPRODUCT((BkRoom=$C54)*(BkDate=$B54)*(BkStartMin&lt;Lists!$AB54)*(BkEndMin&gt;Lists!$AA54))&gt;1,"Conflict","OK")))))</f>
        <v>OK</v>
      </c>
      <c r="L54" s="52" t="str">
        <f aca="false">IF(OR($C54="",$H54="",Lists!$Z54=""),"",IF($H54&gt;Lists!$Z54,"Over capacity",IF(AND($H54*2&lt;=Lists!$Z54,Lists!$Z54-$H54&gt;=4),"Oversized room","Good fit")))</f>
        <v>Good fit</v>
      </c>
    </row>
    <row r="55" customFormat="false" ht="16.5" hidden="false" customHeight="true" outlineLevel="0" collapsed="false">
      <c r="A55" s="44" t="n">
        <v>47</v>
      </c>
      <c r="B55" s="45" t="n">
        <f aca="false">Lists!$E$2</f>
        <v>46240</v>
      </c>
      <c r="C55" s="46" t="s">
        <v>79</v>
      </c>
      <c r="D55" s="47" t="n">
        <v>0.625</v>
      </c>
      <c r="E55" s="47" t="n">
        <v>0.666666666666667</v>
      </c>
      <c r="F55" s="46" t="s">
        <v>107</v>
      </c>
      <c r="G55" s="46" t="s">
        <v>140</v>
      </c>
      <c r="H55" s="48" t="n">
        <v>4</v>
      </c>
      <c r="I55" s="49" t="s">
        <v>134</v>
      </c>
      <c r="J55" s="50" t="n">
        <f aca="false">IF(OR($D55="",$E55="",Lists!$AB55&lt;=Lists!$AA55),"",(Lists!$AB55-Lists!$AA55)/60)</f>
        <v>1</v>
      </c>
      <c r="K55" s="51" t="str">
        <f aca="false">IF(COUNTA($B55:$E55)&lt;4,"",IF(Lists!$AB55&lt;=Lists!$AA55,"Check times",IF(COUNTIF(BookingDates,$B55)=0,"Outside range",IF(COUNTIF(RoomList,$C55)=0,"Unknown room",IF(SUMPRODUCT((BkRoom=$C55)*(BkDate=$B55)*(BkStartMin&lt;Lists!$AB55)*(BkEndMin&gt;Lists!$AA55))&gt;1,"Conflict","OK")))))</f>
        <v>OK</v>
      </c>
      <c r="L55" s="52" t="str">
        <f aca="false">IF(OR($C55="",$H55="",Lists!$Z55=""),"",IF($H55&gt;Lists!$Z55,"Over capacity",IF(AND($H55*2&lt;=Lists!$Z55,Lists!$Z55-$H55&gt;=4),"Oversized room","Good fit")))</f>
        <v>Good fit</v>
      </c>
    </row>
    <row r="56" customFormat="false" ht="16.5" hidden="false" customHeight="true" outlineLevel="0" collapsed="false">
      <c r="A56" s="44" t="n">
        <v>48</v>
      </c>
      <c r="B56" s="45" t="n">
        <f aca="false">Lists!$E$2</f>
        <v>46240</v>
      </c>
      <c r="C56" s="46" t="s">
        <v>86</v>
      </c>
      <c r="D56" s="47" t="n">
        <v>0.645833333333333</v>
      </c>
      <c r="E56" s="47" t="n">
        <v>0.666666666666667</v>
      </c>
      <c r="F56" s="46" t="s">
        <v>98</v>
      </c>
      <c r="G56" s="46" t="s">
        <v>135</v>
      </c>
      <c r="H56" s="48" t="n">
        <v>2</v>
      </c>
      <c r="I56" s="49" t="s">
        <v>134</v>
      </c>
      <c r="J56" s="50" t="n">
        <f aca="false">IF(OR($D56="",$E56="",Lists!$AB56&lt;=Lists!$AA56),"",(Lists!$AB56-Lists!$AA56)/60)</f>
        <v>0.5</v>
      </c>
      <c r="K56" s="51" t="str">
        <f aca="false">IF(COUNTA($B56:$E56)&lt;4,"",IF(Lists!$AB56&lt;=Lists!$AA56,"Check times",IF(COUNTIF(BookingDates,$B56)=0,"Outside range",IF(COUNTIF(RoomList,$C56)=0,"Unknown room",IF(SUMPRODUCT((BkRoom=$C56)*(BkDate=$B56)*(BkStartMin&lt;Lists!$AB56)*(BkEndMin&gt;Lists!$AA56))&gt;1,"Conflict","OK")))))</f>
        <v>OK</v>
      </c>
      <c r="L56" s="52" t="str">
        <f aca="false">IF(OR($C56="",$H56="",Lists!$Z56=""),"",IF($H56&gt;Lists!$Z56,"Over capacity",IF(AND($H56*2&lt;=Lists!$Z56,Lists!$Z56-$H56&gt;=4),"Oversized room","Good fit")))</f>
        <v>Good fit</v>
      </c>
    </row>
    <row r="57" customFormat="false" ht="16.5" hidden="false" customHeight="true" outlineLevel="0" collapsed="false">
      <c r="A57" s="44" t="n">
        <v>49</v>
      </c>
      <c r="B57" s="45" t="n">
        <f aca="false">Lists!$F$2</f>
        <v>46241</v>
      </c>
      <c r="C57" s="46" t="s">
        <v>75</v>
      </c>
      <c r="D57" s="47" t="n">
        <v>0.395833333333333</v>
      </c>
      <c r="E57" s="47" t="n">
        <v>0.4375</v>
      </c>
      <c r="F57" s="46" t="s">
        <v>77</v>
      </c>
      <c r="G57" s="46" t="s">
        <v>146</v>
      </c>
      <c r="H57" s="48" t="n">
        <v>6</v>
      </c>
      <c r="I57" s="49" t="s">
        <v>134</v>
      </c>
      <c r="J57" s="50" t="n">
        <f aca="false">IF(OR($D57="",$E57="",Lists!$AB57&lt;=Lists!$AA57),"",(Lists!$AB57-Lists!$AA57)/60)</f>
        <v>1</v>
      </c>
      <c r="K57" s="51" t="str">
        <f aca="false">IF(COUNTA($B57:$E57)&lt;4,"",IF(Lists!$AB57&lt;=Lists!$AA57,"Check times",IF(COUNTIF(BookingDates,$B57)=0,"Outside range",IF(COUNTIF(RoomList,$C57)=0,"Unknown room",IF(SUMPRODUCT((BkRoom=$C57)*(BkDate=$B57)*(BkStartMin&lt;Lists!$AB57)*(BkEndMin&gt;Lists!$AA57))&gt;1,"Conflict","OK")))))</f>
        <v>OK</v>
      </c>
      <c r="L57" s="52" t="str">
        <f aca="false">IF(OR($C57="",$H57="",Lists!$Z57=""),"",IF($H57&gt;Lists!$Z57,"Over capacity",IF(AND($H57*2&lt;=Lists!$Z57,Lists!$Z57-$H57&gt;=4),"Oversized room","Good fit")))</f>
        <v>Good fit</v>
      </c>
    </row>
    <row r="58" customFormat="false" ht="16.5" hidden="false" customHeight="true" outlineLevel="0" collapsed="false">
      <c r="A58" s="44" t="n">
        <v>50</v>
      </c>
      <c r="B58" s="45" t="n">
        <f aca="false">Lists!$F$2</f>
        <v>46241</v>
      </c>
      <c r="C58" s="46" t="s">
        <v>86</v>
      </c>
      <c r="D58" s="47" t="n">
        <v>0.395833333333333</v>
      </c>
      <c r="E58" s="47" t="n">
        <v>0.416666666666667</v>
      </c>
      <c r="F58" s="46" t="s">
        <v>74</v>
      </c>
      <c r="G58" s="46" t="s">
        <v>142</v>
      </c>
      <c r="H58" s="48" t="n">
        <v>2</v>
      </c>
      <c r="I58" s="49" t="s">
        <v>134</v>
      </c>
      <c r="J58" s="50" t="n">
        <f aca="false">IF(OR($D58="",$E58="",Lists!$AB58&lt;=Lists!$AA58),"",(Lists!$AB58-Lists!$AA58)/60)</f>
        <v>0.5</v>
      </c>
      <c r="K58" s="51" t="str">
        <f aca="false">IF(COUNTA($B58:$E58)&lt;4,"",IF(Lists!$AB58&lt;=Lists!$AA58,"Check times",IF(COUNTIF(BookingDates,$B58)=0,"Outside range",IF(COUNTIF(RoomList,$C58)=0,"Unknown room",IF(SUMPRODUCT((BkRoom=$C58)*(BkDate=$B58)*(BkStartMin&lt;Lists!$AB58)*(BkEndMin&gt;Lists!$AA58))&gt;1,"Conflict","OK")))))</f>
        <v>OK</v>
      </c>
      <c r="L58" s="52" t="str">
        <f aca="false">IF(OR($C58="",$H58="",Lists!$Z58=""),"",IF($H58&gt;Lists!$Z58,"Over capacity",IF(AND($H58*2&lt;=Lists!$Z58,Lists!$Z58-$H58&gt;=4),"Oversized room","Good fit")))</f>
        <v>Good fit</v>
      </c>
    </row>
    <row r="59" customFormat="false" ht="16.5" hidden="false" customHeight="true" outlineLevel="0" collapsed="false">
      <c r="A59" s="44" t="n">
        <v>51</v>
      </c>
      <c r="B59" s="45" t="n">
        <f aca="false">Lists!$F$2</f>
        <v>46241</v>
      </c>
      <c r="C59" s="46" t="s">
        <v>79</v>
      </c>
      <c r="D59" s="47" t="n">
        <v>0.4375</v>
      </c>
      <c r="E59" s="47" t="n">
        <v>0.458333333333333</v>
      </c>
      <c r="F59" s="46" t="s">
        <v>93</v>
      </c>
      <c r="G59" s="46" t="s">
        <v>146</v>
      </c>
      <c r="H59" s="48" t="n">
        <v>4</v>
      </c>
      <c r="I59" s="49" t="s">
        <v>134</v>
      </c>
      <c r="J59" s="50" t="n">
        <f aca="false">IF(OR($D59="",$E59="",Lists!$AB59&lt;=Lists!$AA59),"",(Lists!$AB59-Lists!$AA59)/60)</f>
        <v>0.5</v>
      </c>
      <c r="K59" s="51" t="str">
        <f aca="false">IF(COUNTA($B59:$E59)&lt;4,"",IF(Lists!$AB59&lt;=Lists!$AA59,"Check times",IF(COUNTIF(BookingDates,$B59)=0,"Outside range",IF(COUNTIF(RoomList,$C59)=0,"Unknown room",IF(SUMPRODUCT((BkRoom=$C59)*(BkDate=$B59)*(BkStartMin&lt;Lists!$AB59)*(BkEndMin&gt;Lists!$AA59))&gt;1,"Conflict","OK")))))</f>
        <v>OK</v>
      </c>
      <c r="L59" s="52" t="str">
        <f aca="false">IF(OR($C59="",$H59="",Lists!$Z59=""),"",IF($H59&gt;Lists!$Z59,"Over capacity",IF(AND($H59*2&lt;=Lists!$Z59,Lists!$Z59-$H59&gt;=4),"Oversized room","Good fit")))</f>
        <v>Good fit</v>
      </c>
    </row>
    <row r="60" customFormat="false" ht="16.5" hidden="false" customHeight="true" outlineLevel="0" collapsed="false">
      <c r="A60" s="44" t="n">
        <v>52</v>
      </c>
      <c r="B60" s="45" t="n">
        <f aca="false">Lists!$F$2</f>
        <v>46241</v>
      </c>
      <c r="C60" s="46" t="s">
        <v>86</v>
      </c>
      <c r="D60" s="47" t="n">
        <v>0.4375</v>
      </c>
      <c r="E60" s="47" t="n">
        <v>0.458333333333333</v>
      </c>
      <c r="F60" s="46" t="s">
        <v>77</v>
      </c>
      <c r="G60" s="46" t="s">
        <v>135</v>
      </c>
      <c r="H60" s="48" t="n">
        <v>2</v>
      </c>
      <c r="I60" s="49" t="s">
        <v>134</v>
      </c>
      <c r="J60" s="50" t="n">
        <f aca="false">IF(OR($D60="",$E60="",Lists!$AB60&lt;=Lists!$AA60),"",(Lists!$AB60-Lists!$AA60)/60)</f>
        <v>0.5</v>
      </c>
      <c r="K60" s="51" t="str">
        <f aca="false">IF(COUNTA($B60:$E60)&lt;4,"",IF(Lists!$AB60&lt;=Lists!$AA60,"Check times",IF(COUNTIF(BookingDates,$B60)=0,"Outside range",IF(COUNTIF(RoomList,$C60)=0,"Unknown room",IF(SUMPRODUCT((BkRoom=$C60)*(BkDate=$B60)*(BkStartMin&lt;Lists!$AB60)*(BkEndMin&gt;Lists!$AA60))&gt;1,"Conflict","OK")))))</f>
        <v>OK</v>
      </c>
      <c r="L60" s="52" t="str">
        <f aca="false">IF(OR($C60="",$H60="",Lists!$Z60=""),"",IF($H60&gt;Lists!$Z60,"Over capacity",IF(AND($H60*2&lt;=Lists!$Z60,Lists!$Z60-$H60&gt;=4),"Oversized room","Good fit")))</f>
        <v>Good fit</v>
      </c>
    </row>
    <row r="61" customFormat="false" ht="16.5" hidden="false" customHeight="true" outlineLevel="0" collapsed="false">
      <c r="A61" s="44" t="n">
        <v>53</v>
      </c>
      <c r="B61" s="45" t="n">
        <f aca="false">Lists!$F$2</f>
        <v>46241</v>
      </c>
      <c r="C61" s="46" t="s">
        <v>72</v>
      </c>
      <c r="D61" s="47" t="n">
        <v>0.479166666666667</v>
      </c>
      <c r="E61" s="47" t="n">
        <v>0.520833333333333</v>
      </c>
      <c r="F61" s="46" t="s">
        <v>82</v>
      </c>
      <c r="G61" s="46" t="s">
        <v>140</v>
      </c>
      <c r="H61" s="48" t="n">
        <v>5</v>
      </c>
      <c r="I61" s="49" t="s">
        <v>134</v>
      </c>
      <c r="J61" s="50" t="n">
        <f aca="false">IF(OR($D61="",$E61="",Lists!$AB61&lt;=Lists!$AA61),"",(Lists!$AB61-Lists!$AA61)/60)</f>
        <v>1</v>
      </c>
      <c r="K61" s="51" t="str">
        <f aca="false">IF(COUNTA($B61:$E61)&lt;4,"",IF(Lists!$AB61&lt;=Lists!$AA61,"Check times",IF(COUNTIF(BookingDates,$B61)=0,"Outside range",IF(COUNTIF(RoomList,$C61)=0,"Unknown room",IF(SUMPRODUCT((BkRoom=$C61)*(BkDate=$B61)*(BkStartMin&lt;Lists!$AB61)*(BkEndMin&gt;Lists!$AA61))&gt;1,"Conflict","OK")))))</f>
        <v>OK</v>
      </c>
      <c r="L61" s="52" t="str">
        <f aca="false">IF(OR($C61="",$H61="",Lists!$Z61=""),"",IF($H61&gt;Lists!$Z61,"Over capacity",IF(AND($H61*2&lt;=Lists!$Z61,Lists!$Z61-$H61&gt;=4),"Oversized room","Good fit")))</f>
        <v>Good fit</v>
      </c>
    </row>
    <row r="62" customFormat="false" ht="16.5" hidden="false" customHeight="true" outlineLevel="0" collapsed="false">
      <c r="A62" s="44" t="n">
        <v>54</v>
      </c>
      <c r="B62" s="45" t="n">
        <f aca="false">Lists!$F$2</f>
        <v>46241</v>
      </c>
      <c r="C62" s="46" t="s">
        <v>79</v>
      </c>
      <c r="D62" s="47" t="n">
        <v>0.479166666666667</v>
      </c>
      <c r="E62" s="47" t="n">
        <v>0.520833333333333</v>
      </c>
      <c r="F62" s="46" t="s">
        <v>95</v>
      </c>
      <c r="G62" s="46" t="s">
        <v>142</v>
      </c>
      <c r="H62" s="48" t="n">
        <v>2</v>
      </c>
      <c r="I62" s="49" t="s">
        <v>134</v>
      </c>
      <c r="J62" s="50" t="n">
        <f aca="false">IF(OR($D62="",$E62="",Lists!$AB62&lt;=Lists!$AA62),"",(Lists!$AB62-Lists!$AA62)/60)</f>
        <v>1</v>
      </c>
      <c r="K62" s="51" t="str">
        <f aca="false">IF(COUNTA($B62:$E62)&lt;4,"",IF(Lists!$AB62&lt;=Lists!$AA62,"Check times",IF(COUNTIF(BookingDates,$B62)=0,"Outside range",IF(COUNTIF(RoomList,$C62)=0,"Unknown room",IF(SUMPRODUCT((BkRoom=$C62)*(BkDate=$B62)*(BkStartMin&lt;Lists!$AB62)*(BkEndMin&gt;Lists!$AA62))&gt;1,"Conflict","OK")))))</f>
        <v>OK</v>
      </c>
      <c r="L62" s="52" t="str">
        <f aca="false">IF(OR($C62="",$H62="",Lists!$Z62=""),"",IF($H62&gt;Lists!$Z62,"Over capacity",IF(AND($H62*2&lt;=Lists!$Z62,Lists!$Z62-$H62&gt;=4),"Oversized room","Good fit")))</f>
        <v>Good fit</v>
      </c>
    </row>
    <row r="63" customFormat="false" ht="16.5" hidden="false" customHeight="true" outlineLevel="0" collapsed="false">
      <c r="A63" s="44" t="n">
        <v>55</v>
      </c>
      <c r="B63" s="45" t="n">
        <f aca="false">Lists!$F$2</f>
        <v>46241</v>
      </c>
      <c r="C63" s="46" t="s">
        <v>83</v>
      </c>
      <c r="D63" s="47" t="n">
        <v>0.5</v>
      </c>
      <c r="E63" s="47" t="n">
        <v>0.583333333333333</v>
      </c>
      <c r="F63" s="46" t="s">
        <v>102</v>
      </c>
      <c r="G63" s="46" t="s">
        <v>146</v>
      </c>
      <c r="H63" s="48" t="n">
        <v>4</v>
      </c>
      <c r="I63" s="49" t="s">
        <v>134</v>
      </c>
      <c r="J63" s="50" t="n">
        <f aca="false">IF(OR($D63="",$E63="",Lists!$AB63&lt;=Lists!$AA63),"",(Lists!$AB63-Lists!$AA63)/60)</f>
        <v>2</v>
      </c>
      <c r="K63" s="51" t="str">
        <f aca="false">IF(COUNTA($B63:$E63)&lt;4,"",IF(Lists!$AB63&lt;=Lists!$AA63,"Check times",IF(COUNTIF(BookingDates,$B63)=0,"Outside range",IF(COUNTIF(RoomList,$C63)=0,"Unknown room",IF(SUMPRODUCT((BkRoom=$C63)*(BkDate=$B63)*(BkStartMin&lt;Lists!$AB63)*(BkEndMin&gt;Lists!$AA63))&gt;1,"Conflict","OK")))))</f>
        <v>OK</v>
      </c>
      <c r="L63" s="52" t="str">
        <f aca="false">IF(OR($C63="",$H63="",Lists!$Z63=""),"",IF($H63&gt;Lists!$Z63,"Over capacity",IF(AND($H63*2&lt;=Lists!$Z63,Lists!$Z63-$H63&gt;=4),"Oversized room","Good fit")))</f>
        <v>Oversized room</v>
      </c>
    </row>
    <row r="64" customFormat="false" ht="16.5" hidden="false" customHeight="true" outlineLevel="0" collapsed="false">
      <c r="A64" s="44" t="n">
        <v>56</v>
      </c>
      <c r="B64" s="45" t="n">
        <f aca="false">Lists!$F$2</f>
        <v>46241</v>
      </c>
      <c r="C64" s="46" t="s">
        <v>86</v>
      </c>
      <c r="D64" s="47" t="n">
        <v>0.541666666666667</v>
      </c>
      <c r="E64" s="47" t="n">
        <v>0.5625</v>
      </c>
      <c r="F64" s="46" t="s">
        <v>101</v>
      </c>
      <c r="G64" s="46" t="s">
        <v>142</v>
      </c>
      <c r="H64" s="48" t="n">
        <v>2</v>
      </c>
      <c r="I64" s="49" t="s">
        <v>144</v>
      </c>
      <c r="J64" s="50" t="n">
        <f aca="false">IF(OR($D64="",$E64="",Lists!$AB64&lt;=Lists!$AA64),"",(Lists!$AB64-Lists!$AA64)/60)</f>
        <v>0.5</v>
      </c>
      <c r="K64" s="51" t="str">
        <f aca="false">IF(COUNTA($B64:$E64)&lt;4,"",IF(Lists!$AB64&lt;=Lists!$AA64,"Check times",IF(COUNTIF(BookingDates,$B64)=0,"Outside range",IF(COUNTIF(RoomList,$C64)=0,"Unknown room",IF(SUMPRODUCT((BkRoom=$C64)*(BkDate=$B64)*(BkStartMin&lt;Lists!$AB64)*(BkEndMin&gt;Lists!$AA64))&gt;1,"Conflict","OK")))))</f>
        <v>OK</v>
      </c>
      <c r="L64" s="52" t="str">
        <f aca="false">IF(OR($C64="",$H64="",Lists!$Z64=""),"",IF($H64&gt;Lists!$Z64,"Over capacity",IF(AND($H64*2&lt;=Lists!$Z64,Lists!$Z64-$H64&gt;=4),"Oversized room","Good fit")))</f>
        <v>Good fit</v>
      </c>
    </row>
    <row r="65" customFormat="false" ht="16.5" hidden="false" customHeight="true" outlineLevel="0" collapsed="false">
      <c r="A65" s="44" t="n">
        <v>57</v>
      </c>
      <c r="B65" s="45" t="n">
        <f aca="false">Lists!$F$2</f>
        <v>46241</v>
      </c>
      <c r="C65" s="46" t="s">
        <v>67</v>
      </c>
      <c r="D65" s="47" t="n">
        <v>0.583333333333333</v>
      </c>
      <c r="E65" s="47" t="n">
        <v>0.625</v>
      </c>
      <c r="F65" s="46" t="s">
        <v>77</v>
      </c>
      <c r="G65" s="46" t="s">
        <v>147</v>
      </c>
      <c r="H65" s="48" t="n">
        <v>5</v>
      </c>
      <c r="I65" s="49" t="s">
        <v>144</v>
      </c>
      <c r="J65" s="50" t="n">
        <f aca="false">IF(OR($D65="",$E65="",Lists!$AB65&lt;=Lists!$AA65),"",(Lists!$AB65-Lists!$AA65)/60)</f>
        <v>1</v>
      </c>
      <c r="K65" s="51" t="str">
        <f aca="false">IF(COUNTA($B65:$E65)&lt;4,"",IF(Lists!$AB65&lt;=Lists!$AA65,"Check times",IF(COUNTIF(BookingDates,$B65)=0,"Outside range",IF(COUNTIF(RoomList,$C65)=0,"Unknown room",IF(SUMPRODUCT((BkRoom=$C65)*(BkDate=$B65)*(BkStartMin&lt;Lists!$AB65)*(BkEndMin&gt;Lists!$AA65))&gt;1,"Conflict","OK")))))</f>
        <v>OK</v>
      </c>
      <c r="L65" s="52" t="str">
        <f aca="false">IF(OR($C65="",$H65="",Lists!$Z65=""),"",IF($H65&gt;Lists!$Z65,"Over capacity",IF(AND($H65*2&lt;=Lists!$Z65,Lists!$Z65-$H65&gt;=4),"Oversized room","Good fit")))</f>
        <v>Oversized room</v>
      </c>
    </row>
    <row r="66" customFormat="false" ht="16.5" hidden="false" customHeight="true" outlineLevel="0" collapsed="false">
      <c r="A66" s="44" t="n">
        <v>58</v>
      </c>
      <c r="B66" s="45" t="n">
        <f aca="false">Lists!$F$2</f>
        <v>46241</v>
      </c>
      <c r="C66" s="46" t="s">
        <v>86</v>
      </c>
      <c r="D66" s="47" t="n">
        <v>0.583333333333333</v>
      </c>
      <c r="E66" s="47" t="n">
        <v>0.625</v>
      </c>
      <c r="F66" s="46" t="s">
        <v>82</v>
      </c>
      <c r="G66" s="46" t="s">
        <v>142</v>
      </c>
      <c r="H66" s="48" t="n">
        <v>2</v>
      </c>
      <c r="I66" s="49" t="s">
        <v>144</v>
      </c>
      <c r="J66" s="50" t="n">
        <f aca="false">IF(OR($D66="",$E66="",Lists!$AB66&lt;=Lists!$AA66),"",(Lists!$AB66-Lists!$AA66)/60)</f>
        <v>1</v>
      </c>
      <c r="K66" s="51" t="str">
        <f aca="false">IF(COUNTA($B66:$E66)&lt;4,"",IF(Lists!$AB66&lt;=Lists!$AA66,"Check times",IF(COUNTIF(BookingDates,$B66)=0,"Outside range",IF(COUNTIF(RoomList,$C66)=0,"Unknown room",IF(SUMPRODUCT((BkRoom=$C66)*(BkDate=$B66)*(BkStartMin&lt;Lists!$AB66)*(BkEndMin&gt;Lists!$AA66))&gt;1,"Conflict","OK")))))</f>
        <v>OK</v>
      </c>
      <c r="L66" s="52" t="str">
        <f aca="false">IF(OR($C66="",$H66="",Lists!$Z66=""),"",IF($H66&gt;Lists!$Z66,"Over capacity",IF(AND($H66*2&lt;=Lists!$Z66,Lists!$Z66-$H66&gt;=4),"Oversized room","Good fit")))</f>
        <v>Good fit</v>
      </c>
    </row>
    <row r="67" customFormat="false" ht="16.5" hidden="false" customHeight="true" outlineLevel="0" collapsed="false">
      <c r="A67" s="44" t="n">
        <v>59</v>
      </c>
      <c r="B67" s="45" t="n">
        <f aca="false">Lists!$F$2</f>
        <v>46241</v>
      </c>
      <c r="C67" s="46" t="s">
        <v>72</v>
      </c>
      <c r="D67" s="47" t="n">
        <v>0.604166666666667</v>
      </c>
      <c r="E67" s="47" t="n">
        <v>0.6875</v>
      </c>
      <c r="F67" s="46" t="s">
        <v>85</v>
      </c>
      <c r="G67" s="46" t="s">
        <v>135</v>
      </c>
      <c r="H67" s="48" t="n">
        <v>2</v>
      </c>
      <c r="I67" s="49" t="s">
        <v>134</v>
      </c>
      <c r="J67" s="50" t="n">
        <f aca="false">IF(OR($D67="",$E67="",Lists!$AB67&lt;=Lists!$AA67),"",(Lists!$AB67-Lists!$AA67)/60)</f>
        <v>2</v>
      </c>
      <c r="K67" s="51" t="str">
        <f aca="false">IF(COUNTA($B67:$E67)&lt;4,"",IF(Lists!$AB67&lt;=Lists!$AA67,"Check times",IF(COUNTIF(BookingDates,$B67)=0,"Outside range",IF(COUNTIF(RoomList,$C67)=0,"Unknown room",IF(SUMPRODUCT((BkRoom=$C67)*(BkDate=$B67)*(BkStartMin&lt;Lists!$AB67)*(BkEndMin&gt;Lists!$AA67))&gt;1,"Conflict","OK")))))</f>
        <v>OK</v>
      </c>
      <c r="L67" s="52" t="str">
        <f aca="false">IF(OR($C67="",$H67="",Lists!$Z67=""),"",IF($H67&gt;Lists!$Z67,"Over capacity",IF(AND($H67*2&lt;=Lists!$Z67,Lists!$Z67-$H67&gt;=4),"Oversized room","Good fit")))</f>
        <v>Oversized room</v>
      </c>
    </row>
    <row r="68" customFormat="false" ht="16.5" hidden="false" customHeight="true" outlineLevel="0" collapsed="false">
      <c r="A68" s="44" t="n">
        <v>60</v>
      </c>
      <c r="B68" s="45" t="n">
        <f aca="false">Lists!$F$2</f>
        <v>46241</v>
      </c>
      <c r="C68" s="46" t="s">
        <v>86</v>
      </c>
      <c r="D68" s="47" t="n">
        <v>0.625</v>
      </c>
      <c r="E68" s="47" t="n">
        <v>0.645833333333333</v>
      </c>
      <c r="F68" s="46" t="s">
        <v>91</v>
      </c>
      <c r="G68" s="46" t="s">
        <v>135</v>
      </c>
      <c r="H68" s="48" t="n">
        <v>2</v>
      </c>
      <c r="I68" s="49" t="s">
        <v>134</v>
      </c>
      <c r="J68" s="50" t="n">
        <f aca="false">IF(OR($D68="",$E68="",Lists!$AB68&lt;=Lists!$AA68),"",(Lists!$AB68-Lists!$AA68)/60)</f>
        <v>0.5</v>
      </c>
      <c r="K68" s="51" t="str">
        <f aca="false">IF(COUNTA($B68:$E68)&lt;4,"",IF(Lists!$AB68&lt;=Lists!$AA68,"Check times",IF(COUNTIF(BookingDates,$B68)=0,"Outside range",IF(COUNTIF(RoomList,$C68)=0,"Unknown room",IF(SUMPRODUCT((BkRoom=$C68)*(BkDate=$B68)*(BkStartMin&lt;Lists!$AB68)*(BkEndMin&gt;Lists!$AA68))&gt;1,"Conflict","OK")))))</f>
        <v>OK</v>
      </c>
      <c r="L68" s="52" t="str">
        <f aca="false">IF(OR($C68="",$H68="",Lists!$Z68=""),"",IF($H68&gt;Lists!$Z68,"Over capacity",IF(AND($H68*2&lt;=Lists!$Z68,Lists!$Z68-$H68&gt;=4),"Oversized room","Good fit")))</f>
        <v>Good fit</v>
      </c>
    </row>
    <row r="69" customFormat="false" ht="16.5" hidden="false" customHeight="true" outlineLevel="0" collapsed="false">
      <c r="A69" s="44" t="n">
        <v>61</v>
      </c>
      <c r="B69" s="45" t="n">
        <f aca="false">Lists!$G$2</f>
        <v>46244</v>
      </c>
      <c r="C69" s="46" t="s">
        <v>79</v>
      </c>
      <c r="D69" s="47" t="n">
        <v>0.375</v>
      </c>
      <c r="E69" s="47" t="n">
        <v>0.416666666666667</v>
      </c>
      <c r="F69" s="46" t="s">
        <v>104</v>
      </c>
      <c r="G69" s="46" t="s">
        <v>133</v>
      </c>
      <c r="H69" s="48" t="n">
        <v>3</v>
      </c>
      <c r="I69" s="49"/>
      <c r="J69" s="50" t="n">
        <f aca="false">IF(OR($D69="",$E69="",Lists!$AB69&lt;=Lists!$AA69),"",(Lists!$AB69-Lists!$AA69)/60)</f>
        <v>1</v>
      </c>
      <c r="K69" s="51" t="str">
        <f aca="false">IF(COUNTA($B69:$E69)&lt;4,"",IF(Lists!$AB69&lt;=Lists!$AA69,"Check times",IF(COUNTIF(BookingDates,$B69)=0,"Outside range",IF(COUNTIF(RoomList,$C69)=0,"Unknown room",IF(SUMPRODUCT((BkRoom=$C69)*(BkDate=$B69)*(BkStartMin&lt;Lists!$AB69)*(BkEndMin&gt;Lists!$AA69))&gt;1,"Conflict","OK")))))</f>
        <v>OK</v>
      </c>
      <c r="L69" s="52" t="str">
        <f aca="false">IF(OR($C69="",$H69="",Lists!$Z69=""),"",IF($H69&gt;Lists!$Z69,"Over capacity",IF(AND($H69*2&lt;=Lists!$Z69,Lists!$Z69-$H69&gt;=4),"Oversized room","Good fit")))</f>
        <v>Good fit</v>
      </c>
    </row>
    <row r="70" customFormat="false" ht="16.5" hidden="false" customHeight="true" outlineLevel="0" collapsed="false">
      <c r="A70" s="44" t="n">
        <v>62</v>
      </c>
      <c r="B70" s="45" t="n">
        <f aca="false">Lists!$G$2</f>
        <v>46244</v>
      </c>
      <c r="C70" s="46" t="s">
        <v>75</v>
      </c>
      <c r="D70" s="47" t="n">
        <v>0.395833333333333</v>
      </c>
      <c r="E70" s="47" t="n">
        <v>0.4375</v>
      </c>
      <c r="F70" s="46" t="s">
        <v>102</v>
      </c>
      <c r="G70" s="46" t="s">
        <v>142</v>
      </c>
      <c r="H70" s="48" t="n">
        <v>2</v>
      </c>
      <c r="I70" s="49"/>
      <c r="J70" s="50" t="n">
        <f aca="false">IF(OR($D70="",$E70="",Lists!$AB70&lt;=Lists!$AA70),"",(Lists!$AB70-Lists!$AA70)/60)</f>
        <v>1</v>
      </c>
      <c r="K70" s="51" t="str">
        <f aca="false">IF(COUNTA($B70:$E70)&lt;4,"",IF(Lists!$AB70&lt;=Lists!$AA70,"Check times",IF(COUNTIF(BookingDates,$B70)=0,"Outside range",IF(COUNTIF(RoomList,$C70)=0,"Unknown room",IF(SUMPRODUCT((BkRoom=$C70)*(BkDate=$B70)*(BkStartMin&lt;Lists!$AB70)*(BkEndMin&gt;Lists!$AA70))&gt;1,"Conflict","OK")))))</f>
        <v>OK</v>
      </c>
      <c r="L70" s="52" t="str">
        <f aca="false">IF(OR($C70="",$H70="",Lists!$Z70=""),"",IF($H70&gt;Lists!$Z70,"Over capacity",IF(AND($H70*2&lt;=Lists!$Z70,Lists!$Z70-$H70&gt;=4),"Oversized room","Good fit")))</f>
        <v>Oversized room</v>
      </c>
    </row>
    <row r="71" customFormat="false" ht="16.5" hidden="false" customHeight="true" outlineLevel="0" collapsed="false">
      <c r="A71" s="44" t="n">
        <v>63</v>
      </c>
      <c r="B71" s="45" t="n">
        <f aca="false">Lists!$G$2</f>
        <v>46244</v>
      </c>
      <c r="C71" s="46" t="s">
        <v>79</v>
      </c>
      <c r="D71" s="47" t="n">
        <v>0.4375</v>
      </c>
      <c r="E71" s="47" t="n">
        <v>0.479166666666667</v>
      </c>
      <c r="F71" s="46" t="s">
        <v>101</v>
      </c>
      <c r="G71" s="46" t="s">
        <v>148</v>
      </c>
      <c r="H71" s="48" t="n">
        <v>4</v>
      </c>
      <c r="I71" s="49"/>
      <c r="J71" s="50" t="n">
        <f aca="false">IF(OR($D71="",$E71="",Lists!$AB71&lt;=Lists!$AA71),"",(Lists!$AB71-Lists!$AA71)/60)</f>
        <v>1</v>
      </c>
      <c r="K71" s="51" t="str">
        <f aca="false">IF(COUNTA($B71:$E71)&lt;4,"",IF(Lists!$AB71&lt;=Lists!$AA71,"Check times",IF(COUNTIF(BookingDates,$B71)=0,"Outside range",IF(COUNTIF(RoomList,$C71)=0,"Unknown room",IF(SUMPRODUCT((BkRoom=$C71)*(BkDate=$B71)*(BkStartMin&lt;Lists!$AB71)*(BkEndMin&gt;Lists!$AA71))&gt;1,"Conflict","OK")))))</f>
        <v>OK</v>
      </c>
      <c r="L71" s="52" t="str">
        <f aca="false">IF(OR($C71="",$H71="",Lists!$Z71=""),"",IF($H71&gt;Lists!$Z71,"Over capacity",IF(AND($H71*2&lt;=Lists!$Z71,Lists!$Z71-$H71&gt;=4),"Oversized room","Good fit")))</f>
        <v>Good fit</v>
      </c>
    </row>
    <row r="72" customFormat="false" ht="16.5" hidden="false" customHeight="true" outlineLevel="0" collapsed="false">
      <c r="A72" s="44" t="n">
        <v>64</v>
      </c>
      <c r="B72" s="45" t="n">
        <f aca="false">Lists!$G$2</f>
        <v>46244</v>
      </c>
      <c r="C72" s="46" t="s">
        <v>83</v>
      </c>
      <c r="D72" s="47" t="n">
        <v>0.4375</v>
      </c>
      <c r="E72" s="47" t="n">
        <v>0.5</v>
      </c>
      <c r="F72" s="46" t="s">
        <v>88</v>
      </c>
      <c r="G72" s="46" t="s">
        <v>137</v>
      </c>
      <c r="H72" s="48" t="n">
        <v>2</v>
      </c>
      <c r="I72" s="49"/>
      <c r="J72" s="50" t="n">
        <f aca="false">IF(OR($D72="",$E72="",Lists!$AB72&lt;=Lists!$AA72),"",(Lists!$AB72-Lists!$AA72)/60)</f>
        <v>1.5</v>
      </c>
      <c r="K72" s="51" t="str">
        <f aca="false">IF(COUNTA($B72:$E72)&lt;4,"",IF(Lists!$AB72&lt;=Lists!$AA72,"Check times",IF(COUNTIF(BookingDates,$B72)=0,"Outside range",IF(COUNTIF(RoomList,$C72)=0,"Unknown room",IF(SUMPRODUCT((BkRoom=$C72)*(BkDate=$B72)*(BkStartMin&lt;Lists!$AB72)*(BkEndMin&gt;Lists!$AA72))&gt;1,"Conflict","OK")))))</f>
        <v>OK</v>
      </c>
      <c r="L72" s="52" t="str">
        <f aca="false">IF(OR($C72="",$H72="",Lists!$Z72=""),"",IF($H72&gt;Lists!$Z72,"Over capacity",IF(AND($H72*2&lt;=Lists!$Z72,Lists!$Z72-$H72&gt;=4),"Oversized room","Good fit")))</f>
        <v>Oversized room</v>
      </c>
    </row>
    <row r="73" customFormat="false" ht="16.5" hidden="false" customHeight="true" outlineLevel="0" collapsed="false">
      <c r="A73" s="44" t="n">
        <v>65</v>
      </c>
      <c r="B73" s="45" t="n">
        <f aca="false">Lists!$G$2</f>
        <v>46244</v>
      </c>
      <c r="C73" s="46" t="s">
        <v>67</v>
      </c>
      <c r="D73" s="47" t="n">
        <v>0.458333333333333</v>
      </c>
      <c r="E73" s="47" t="n">
        <v>0.5</v>
      </c>
      <c r="F73" s="46" t="s">
        <v>104</v>
      </c>
      <c r="G73" s="46" t="s">
        <v>135</v>
      </c>
      <c r="H73" s="48" t="n">
        <v>2</v>
      </c>
      <c r="I73" s="49"/>
      <c r="J73" s="50" t="n">
        <f aca="false">IF(OR($D73="",$E73="",Lists!$AB73&lt;=Lists!$AA73),"",(Lists!$AB73-Lists!$AA73)/60)</f>
        <v>1</v>
      </c>
      <c r="K73" s="51" t="str">
        <f aca="false">IF(COUNTA($B73:$E73)&lt;4,"",IF(Lists!$AB73&lt;=Lists!$AA73,"Check times",IF(COUNTIF(BookingDates,$B73)=0,"Outside range",IF(COUNTIF(RoomList,$C73)=0,"Unknown room",IF(SUMPRODUCT((BkRoom=$C73)*(BkDate=$B73)*(BkStartMin&lt;Lists!$AB73)*(BkEndMin&gt;Lists!$AA73))&gt;1,"Conflict","OK")))))</f>
        <v>OK</v>
      </c>
      <c r="L73" s="52" t="str">
        <f aca="false">IF(OR($C73="",$H73="",Lists!$Z73=""),"",IF($H73&gt;Lists!$Z73,"Over capacity",IF(AND($H73*2&lt;=Lists!$Z73,Lists!$Z73-$H73&gt;=4),"Oversized room","Good fit")))</f>
        <v>Oversized room</v>
      </c>
    </row>
    <row r="74" customFormat="false" ht="16.5" hidden="false" customHeight="true" outlineLevel="0" collapsed="false">
      <c r="A74" s="44" t="n">
        <v>66</v>
      </c>
      <c r="B74" s="45" t="n">
        <f aca="false">Lists!$G$2</f>
        <v>46244</v>
      </c>
      <c r="C74" s="46" t="s">
        <v>86</v>
      </c>
      <c r="D74" s="47" t="n">
        <v>0.458333333333333</v>
      </c>
      <c r="E74" s="47" t="n">
        <v>0.479166666666667</v>
      </c>
      <c r="F74" s="46" t="s">
        <v>104</v>
      </c>
      <c r="G74" s="46" t="s">
        <v>135</v>
      </c>
      <c r="H74" s="48" t="n">
        <v>2</v>
      </c>
      <c r="I74" s="49"/>
      <c r="J74" s="50" t="n">
        <f aca="false">IF(OR($D74="",$E74="",Lists!$AB74&lt;=Lists!$AA74),"",(Lists!$AB74-Lists!$AA74)/60)</f>
        <v>0.5</v>
      </c>
      <c r="K74" s="51" t="str">
        <f aca="false">IF(COUNTA($B74:$E74)&lt;4,"",IF(Lists!$AB74&lt;=Lists!$AA74,"Check times",IF(COUNTIF(BookingDates,$B74)=0,"Outside range",IF(COUNTIF(RoomList,$C74)=0,"Unknown room",IF(SUMPRODUCT((BkRoom=$C74)*(BkDate=$B74)*(BkStartMin&lt;Lists!$AB74)*(BkEndMin&gt;Lists!$AA74))&gt;1,"Conflict","OK")))))</f>
        <v>OK</v>
      </c>
      <c r="L74" s="52" t="str">
        <f aca="false">IF(OR($C74="",$H74="",Lists!$Z74=""),"",IF($H74&gt;Lists!$Z74,"Over capacity",IF(AND($H74*2&lt;=Lists!$Z74,Lists!$Z74-$H74&gt;=4),"Oversized room","Good fit")))</f>
        <v>Good fit</v>
      </c>
    </row>
    <row r="75" customFormat="false" ht="16.5" hidden="false" customHeight="true" outlineLevel="0" collapsed="false">
      <c r="A75" s="44" t="n">
        <v>67</v>
      </c>
      <c r="B75" s="45" t="n">
        <f aca="false">Lists!$G$2</f>
        <v>46244</v>
      </c>
      <c r="C75" s="46" t="s">
        <v>72</v>
      </c>
      <c r="D75" s="47" t="n">
        <v>0.479166666666667</v>
      </c>
      <c r="E75" s="47" t="n">
        <v>0.520833333333333</v>
      </c>
      <c r="F75" s="46" t="s">
        <v>108</v>
      </c>
      <c r="G75" s="46" t="s">
        <v>140</v>
      </c>
      <c r="H75" s="48" t="n">
        <v>6</v>
      </c>
      <c r="I75" s="49"/>
      <c r="J75" s="50" t="n">
        <f aca="false">IF(OR($D75="",$E75="",Lists!$AB75&lt;=Lists!$AA75),"",(Lists!$AB75-Lists!$AA75)/60)</f>
        <v>1</v>
      </c>
      <c r="K75" s="51" t="str">
        <f aca="false">IF(COUNTA($B75:$E75)&lt;4,"",IF(Lists!$AB75&lt;=Lists!$AA75,"Check times",IF(COUNTIF(BookingDates,$B75)=0,"Outside range",IF(COUNTIF(RoomList,$C75)=0,"Unknown room",IF(SUMPRODUCT((BkRoom=$C75)*(BkDate=$B75)*(BkStartMin&lt;Lists!$AB75)*(BkEndMin&gt;Lists!$AA75))&gt;1,"Conflict","OK")))))</f>
        <v>OK</v>
      </c>
      <c r="L75" s="52" t="str">
        <f aca="false">IF(OR($C75="",$H75="",Lists!$Z75=""),"",IF($H75&gt;Lists!$Z75,"Over capacity",IF(AND($H75*2&lt;=Lists!$Z75,Lists!$Z75-$H75&gt;=4),"Oversized room","Good fit")))</f>
        <v>Good fit</v>
      </c>
    </row>
    <row r="76" customFormat="false" ht="16.5" hidden="false" customHeight="true" outlineLevel="0" collapsed="false">
      <c r="A76" s="44" t="n">
        <v>68</v>
      </c>
      <c r="B76" s="45" t="n">
        <f aca="false">Lists!$G$2</f>
        <v>46244</v>
      </c>
      <c r="C76" s="46" t="s">
        <v>75</v>
      </c>
      <c r="D76" s="47" t="n">
        <v>0.479166666666667</v>
      </c>
      <c r="E76" s="47" t="n">
        <v>0.520833333333333</v>
      </c>
      <c r="F76" s="46" t="s">
        <v>102</v>
      </c>
      <c r="G76" s="46" t="s">
        <v>135</v>
      </c>
      <c r="H76" s="48" t="n">
        <v>2</v>
      </c>
      <c r="I76" s="49"/>
      <c r="J76" s="50" t="n">
        <f aca="false">IF(OR($D76="",$E76="",Lists!$AB76&lt;=Lists!$AA76),"",(Lists!$AB76-Lists!$AA76)/60)</f>
        <v>1</v>
      </c>
      <c r="K76" s="51" t="str">
        <f aca="false">IF(COUNTA($B76:$E76)&lt;4,"",IF(Lists!$AB76&lt;=Lists!$AA76,"Check times",IF(COUNTIF(BookingDates,$B76)=0,"Outside range",IF(COUNTIF(RoomList,$C76)=0,"Unknown room",IF(SUMPRODUCT((BkRoom=$C76)*(BkDate=$B76)*(BkStartMin&lt;Lists!$AB76)*(BkEndMin&gt;Lists!$AA76))&gt;1,"Conflict","OK")))))</f>
        <v>OK</v>
      </c>
      <c r="L76" s="52" t="str">
        <f aca="false">IF(OR($C76="",$H76="",Lists!$Z76=""),"",IF($H76&gt;Lists!$Z76,"Over capacity",IF(AND($H76*2&lt;=Lists!$Z76,Lists!$Z76-$H76&gt;=4),"Oversized room","Good fit")))</f>
        <v>Oversized room</v>
      </c>
    </row>
    <row r="77" customFormat="false" ht="16.5" hidden="false" customHeight="true" outlineLevel="0" collapsed="false">
      <c r="A77" s="44" t="n">
        <v>69</v>
      </c>
      <c r="B77" s="45" t="n">
        <f aca="false">Lists!$G$2</f>
        <v>46244</v>
      </c>
      <c r="C77" s="46" t="s">
        <v>86</v>
      </c>
      <c r="D77" s="47" t="n">
        <v>0.541666666666667</v>
      </c>
      <c r="E77" s="47" t="n">
        <v>0.5625</v>
      </c>
      <c r="F77" s="46" t="s">
        <v>97</v>
      </c>
      <c r="G77" s="46" t="s">
        <v>139</v>
      </c>
      <c r="H77" s="48" t="n">
        <v>2</v>
      </c>
      <c r="I77" s="49"/>
      <c r="J77" s="50" t="n">
        <f aca="false">IF(OR($D77="",$E77="",Lists!$AB77&lt;=Lists!$AA77),"",(Lists!$AB77-Lists!$AA77)/60)</f>
        <v>0.5</v>
      </c>
      <c r="K77" s="51" t="str">
        <f aca="false">IF(COUNTA($B77:$E77)&lt;4,"",IF(Lists!$AB77&lt;=Lists!$AA77,"Check times",IF(COUNTIF(BookingDates,$B77)=0,"Outside range",IF(COUNTIF(RoomList,$C77)=0,"Unknown room",IF(SUMPRODUCT((BkRoom=$C77)*(BkDate=$B77)*(BkStartMin&lt;Lists!$AB77)*(BkEndMin&gt;Lists!$AA77))&gt;1,"Conflict","OK")))))</f>
        <v>OK</v>
      </c>
      <c r="L77" s="52" t="str">
        <f aca="false">IF(OR($C77="",$H77="",Lists!$Z77=""),"",IF($H77&gt;Lists!$Z77,"Over capacity",IF(AND($H77*2&lt;=Lists!$Z77,Lists!$Z77-$H77&gt;=4),"Oversized room","Good fit")))</f>
        <v>Good fit</v>
      </c>
    </row>
    <row r="78" customFormat="false" ht="16.5" hidden="false" customHeight="true" outlineLevel="0" collapsed="false">
      <c r="A78" s="44" t="n">
        <v>70</v>
      </c>
      <c r="B78" s="45" t="n">
        <f aca="false">Lists!$G$2</f>
        <v>46244</v>
      </c>
      <c r="C78" s="46" t="s">
        <v>72</v>
      </c>
      <c r="D78" s="47" t="n">
        <v>0.604166666666667</v>
      </c>
      <c r="E78" s="47" t="n">
        <v>0.625</v>
      </c>
      <c r="F78" s="46" t="s">
        <v>93</v>
      </c>
      <c r="G78" s="46" t="s">
        <v>149</v>
      </c>
      <c r="H78" s="48" t="n">
        <v>4</v>
      </c>
      <c r="I78" s="49"/>
      <c r="J78" s="50" t="n">
        <f aca="false">IF(OR($D78="",$E78="",Lists!$AB78&lt;=Lists!$AA78),"",(Lists!$AB78-Lists!$AA78)/60)</f>
        <v>0.5</v>
      </c>
      <c r="K78" s="51" t="str">
        <f aca="false">IF(COUNTA($B78:$E78)&lt;4,"",IF(Lists!$AB78&lt;=Lists!$AA78,"Check times",IF(COUNTIF(BookingDates,$B78)=0,"Outside range",IF(COUNTIF(RoomList,$C78)=0,"Unknown room",IF(SUMPRODUCT((BkRoom=$C78)*(BkDate=$B78)*(BkStartMin&lt;Lists!$AB78)*(BkEndMin&gt;Lists!$AA78))&gt;1,"Conflict","OK")))))</f>
        <v>OK</v>
      </c>
      <c r="L78" s="52" t="str">
        <f aca="false">IF(OR($C78="",$H78="",Lists!$Z78=""),"",IF($H78&gt;Lists!$Z78,"Over capacity",IF(AND($H78*2&lt;=Lists!$Z78,Lists!$Z78-$H78&gt;=4),"Oversized room","Good fit")))</f>
        <v>Oversized room</v>
      </c>
    </row>
    <row r="79" customFormat="false" ht="16.5" hidden="false" customHeight="true" outlineLevel="0" collapsed="false">
      <c r="A79" s="44" t="n">
        <v>71</v>
      </c>
      <c r="B79" s="45" t="n">
        <f aca="false">Lists!$G$2</f>
        <v>46244</v>
      </c>
      <c r="C79" s="46" t="s">
        <v>83</v>
      </c>
      <c r="D79" s="47" t="n">
        <v>0.604166666666667</v>
      </c>
      <c r="E79" s="47" t="n">
        <v>0.625</v>
      </c>
      <c r="F79" s="46" t="s">
        <v>109</v>
      </c>
      <c r="G79" s="46" t="s">
        <v>143</v>
      </c>
      <c r="H79" s="48" t="n">
        <v>4</v>
      </c>
      <c r="I79" s="49"/>
      <c r="J79" s="50" t="n">
        <f aca="false">IF(OR($D79="",$E79="",Lists!$AB79&lt;=Lists!$AA79),"",(Lists!$AB79-Lists!$AA79)/60)</f>
        <v>0.5</v>
      </c>
      <c r="K79" s="51" t="str">
        <f aca="false">IF(COUNTA($B79:$E79)&lt;4,"",IF(Lists!$AB79&lt;=Lists!$AA79,"Check times",IF(COUNTIF(BookingDates,$B79)=0,"Outside range",IF(COUNTIF(RoomList,$C79)=0,"Unknown room",IF(SUMPRODUCT((BkRoom=$C79)*(BkDate=$B79)*(BkStartMin&lt;Lists!$AB79)*(BkEndMin&gt;Lists!$AA79))&gt;1,"Conflict","OK")))))</f>
        <v>OK</v>
      </c>
      <c r="L79" s="52" t="str">
        <f aca="false">IF(OR($C79="",$H79="",Lists!$Z79=""),"",IF($H79&gt;Lists!$Z79,"Over capacity",IF(AND($H79*2&lt;=Lists!$Z79,Lists!$Z79-$H79&gt;=4),"Oversized room","Good fit")))</f>
        <v>Oversized room</v>
      </c>
    </row>
    <row r="80" customFormat="false" ht="16.5" hidden="false" customHeight="true" outlineLevel="0" collapsed="false">
      <c r="A80" s="44" t="n">
        <v>72</v>
      </c>
      <c r="B80" s="45" t="n">
        <f aca="false">Lists!$G$2</f>
        <v>46244</v>
      </c>
      <c r="C80" s="46" t="s">
        <v>67</v>
      </c>
      <c r="D80" s="47" t="n">
        <v>0.625</v>
      </c>
      <c r="E80" s="47" t="n">
        <v>0.666666666666667</v>
      </c>
      <c r="F80" s="46" t="s">
        <v>106</v>
      </c>
      <c r="G80" s="46" t="s">
        <v>140</v>
      </c>
      <c r="H80" s="48" t="n">
        <v>3</v>
      </c>
      <c r="I80" s="49"/>
      <c r="J80" s="50" t="n">
        <f aca="false">IF(OR($D80="",$E80="",Lists!$AB80&lt;=Lists!$AA80),"",(Lists!$AB80-Lists!$AA80)/60)</f>
        <v>1</v>
      </c>
      <c r="K80" s="51" t="str">
        <f aca="false">IF(COUNTA($B80:$E80)&lt;4,"",IF(Lists!$AB80&lt;=Lists!$AA80,"Check times",IF(COUNTIF(BookingDates,$B80)=0,"Outside range",IF(COUNTIF(RoomList,$C80)=0,"Unknown room",IF(SUMPRODUCT((BkRoom=$C80)*(BkDate=$B80)*(BkStartMin&lt;Lists!$AB80)*(BkEndMin&gt;Lists!$AA80))&gt;1,"Conflict","OK")))))</f>
        <v>OK</v>
      </c>
      <c r="L80" s="52" t="str">
        <f aca="false">IF(OR($C80="",$H80="",Lists!$Z80=""),"",IF($H80&gt;Lists!$Z80,"Over capacity",IF(AND($H80*2&lt;=Lists!$Z80,Lists!$Z80-$H80&gt;=4),"Oversized room","Good fit")))</f>
        <v>Oversized room</v>
      </c>
    </row>
    <row r="81" customFormat="false" ht="16.5" hidden="false" customHeight="true" outlineLevel="0" collapsed="false">
      <c r="A81" s="44" t="n">
        <v>73</v>
      </c>
      <c r="B81" s="45" t="n">
        <f aca="false">Lists!$H$2</f>
        <v>46245</v>
      </c>
      <c r="C81" s="46" t="s">
        <v>67</v>
      </c>
      <c r="D81" s="47" t="n">
        <v>0.375</v>
      </c>
      <c r="E81" s="47" t="n">
        <v>0.416666666666667</v>
      </c>
      <c r="F81" s="46" t="s">
        <v>98</v>
      </c>
      <c r="G81" s="46" t="s">
        <v>143</v>
      </c>
      <c r="H81" s="48" t="n">
        <v>5</v>
      </c>
      <c r="I81" s="49"/>
      <c r="J81" s="50" t="n">
        <f aca="false">IF(OR($D81="",$E81="",Lists!$AB81&lt;=Lists!$AA81),"",(Lists!$AB81-Lists!$AA81)/60)</f>
        <v>1</v>
      </c>
      <c r="K81" s="51" t="str">
        <f aca="false">IF(COUNTA($B81:$E81)&lt;4,"",IF(Lists!$AB81&lt;=Lists!$AA81,"Check times",IF(COUNTIF(BookingDates,$B81)=0,"Outside range",IF(COUNTIF(RoomList,$C81)=0,"Unknown room",IF(SUMPRODUCT((BkRoom=$C81)*(BkDate=$B81)*(BkStartMin&lt;Lists!$AB81)*(BkEndMin&gt;Lists!$AA81))&gt;1,"Conflict","OK")))))</f>
        <v>OK</v>
      </c>
      <c r="L81" s="52" t="str">
        <f aca="false">IF(OR($C81="",$H81="",Lists!$Z81=""),"",IF($H81&gt;Lists!$Z81,"Over capacity",IF(AND($H81*2&lt;=Lists!$Z81,Lists!$Z81-$H81&gt;=4),"Oversized room","Good fit")))</f>
        <v>Oversized room</v>
      </c>
    </row>
    <row r="82" customFormat="false" ht="16.5" hidden="false" customHeight="true" outlineLevel="0" collapsed="false">
      <c r="A82" s="44" t="n">
        <v>74</v>
      </c>
      <c r="B82" s="45" t="n">
        <f aca="false">Lists!$H$2</f>
        <v>46245</v>
      </c>
      <c r="C82" s="46" t="s">
        <v>67</v>
      </c>
      <c r="D82" s="47" t="n">
        <v>0.416666666666667</v>
      </c>
      <c r="E82" s="47" t="n">
        <v>0.4375</v>
      </c>
      <c r="F82" s="46" t="s">
        <v>91</v>
      </c>
      <c r="G82" s="46" t="s">
        <v>145</v>
      </c>
      <c r="H82" s="48" t="n">
        <v>10</v>
      </c>
      <c r="I82" s="49"/>
      <c r="J82" s="50" t="n">
        <f aca="false">IF(OR($D82="",$E82="",Lists!$AB82&lt;=Lists!$AA82),"",(Lists!$AB82-Lists!$AA82)/60)</f>
        <v>0.5</v>
      </c>
      <c r="K82" s="51" t="str">
        <f aca="false">IF(COUNTA($B82:$E82)&lt;4,"",IF(Lists!$AB82&lt;=Lists!$AA82,"Check times",IF(COUNTIF(BookingDates,$B82)=0,"Outside range",IF(COUNTIF(RoomList,$C82)=0,"Unknown room",IF(SUMPRODUCT((BkRoom=$C82)*(BkDate=$B82)*(BkStartMin&lt;Lists!$AB82)*(BkEndMin&gt;Lists!$AA82))&gt;1,"Conflict","OK")))))</f>
        <v>OK</v>
      </c>
      <c r="L82" s="52" t="str">
        <f aca="false">IF(OR($C82="",$H82="",Lists!$Z82=""),"",IF($H82&gt;Lists!$Z82,"Over capacity",IF(AND($H82*2&lt;=Lists!$Z82,Lists!$Z82-$H82&gt;=4),"Oversized room","Good fit")))</f>
        <v>Good fit</v>
      </c>
    </row>
    <row r="83" customFormat="false" ht="16.5" hidden="false" customHeight="true" outlineLevel="0" collapsed="false">
      <c r="A83" s="44" t="n">
        <v>75</v>
      </c>
      <c r="B83" s="45" t="n">
        <f aca="false">Lists!$H$2</f>
        <v>46245</v>
      </c>
      <c r="C83" s="46" t="s">
        <v>79</v>
      </c>
      <c r="D83" s="47" t="n">
        <v>0.416666666666667</v>
      </c>
      <c r="E83" s="47" t="n">
        <v>0.458333333333333</v>
      </c>
      <c r="F83" s="46" t="s">
        <v>98</v>
      </c>
      <c r="G83" s="46" t="s">
        <v>146</v>
      </c>
      <c r="H83" s="48" t="n">
        <v>4</v>
      </c>
      <c r="I83" s="49"/>
      <c r="J83" s="50" t="n">
        <f aca="false">IF(OR($D83="",$E83="",Lists!$AB83&lt;=Lists!$AA83),"",(Lists!$AB83-Lists!$AA83)/60)</f>
        <v>1</v>
      </c>
      <c r="K83" s="51" t="str">
        <f aca="false">IF(COUNTA($B83:$E83)&lt;4,"",IF(Lists!$AB83&lt;=Lists!$AA83,"Check times",IF(COUNTIF(BookingDates,$B83)=0,"Outside range",IF(COUNTIF(RoomList,$C83)=0,"Unknown room",IF(SUMPRODUCT((BkRoom=$C83)*(BkDate=$B83)*(BkStartMin&lt;Lists!$AB83)*(BkEndMin&gt;Lists!$AA83))&gt;1,"Conflict","OK")))))</f>
        <v>OK</v>
      </c>
      <c r="L83" s="52" t="str">
        <f aca="false">IF(OR($C83="",$H83="",Lists!$Z83=""),"",IF($H83&gt;Lists!$Z83,"Over capacity",IF(AND($H83*2&lt;=Lists!$Z83,Lists!$Z83-$H83&gt;=4),"Oversized room","Good fit")))</f>
        <v>Good fit</v>
      </c>
    </row>
    <row r="84" customFormat="false" ht="16.5" hidden="false" customHeight="true" outlineLevel="0" collapsed="false">
      <c r="A84" s="44" t="n">
        <v>76</v>
      </c>
      <c r="B84" s="45" t="n">
        <f aca="false">Lists!$H$2</f>
        <v>46245</v>
      </c>
      <c r="C84" s="46" t="s">
        <v>83</v>
      </c>
      <c r="D84" s="47" t="n">
        <v>0.416666666666667</v>
      </c>
      <c r="E84" s="47" t="n">
        <v>0.458333333333333</v>
      </c>
      <c r="F84" s="46" t="s">
        <v>74</v>
      </c>
      <c r="G84" s="46" t="s">
        <v>138</v>
      </c>
      <c r="H84" s="48" t="n">
        <v>7</v>
      </c>
      <c r="I84" s="49"/>
      <c r="J84" s="50" t="n">
        <f aca="false">IF(OR($D84="",$E84="",Lists!$AB84&lt;=Lists!$AA84),"",(Lists!$AB84-Lists!$AA84)/60)</f>
        <v>1</v>
      </c>
      <c r="K84" s="51" t="str">
        <f aca="false">IF(COUNTA($B84:$E84)&lt;4,"",IF(Lists!$AB84&lt;=Lists!$AA84,"Check times",IF(COUNTIF(BookingDates,$B84)=0,"Outside range",IF(COUNTIF(RoomList,$C84)=0,"Unknown room",IF(SUMPRODUCT((BkRoom=$C84)*(BkDate=$B84)*(BkStartMin&lt;Lists!$AB84)*(BkEndMin&gt;Lists!$AA84))&gt;1,"Conflict","OK")))))</f>
        <v>OK</v>
      </c>
      <c r="L84" s="52" t="str">
        <f aca="false">IF(OR($C84="",$H84="",Lists!$Z84=""),"",IF($H84&gt;Lists!$Z84,"Over capacity",IF(AND($H84*2&lt;=Lists!$Z84,Lists!$Z84-$H84&gt;=4),"Oversized room","Good fit")))</f>
        <v>Oversized room</v>
      </c>
    </row>
    <row r="85" customFormat="false" ht="16.5" hidden="false" customHeight="true" outlineLevel="0" collapsed="false">
      <c r="A85" s="44" t="n">
        <v>77</v>
      </c>
      <c r="B85" s="45" t="n">
        <f aca="false">Lists!$H$2</f>
        <v>46245</v>
      </c>
      <c r="C85" s="46" t="s">
        <v>86</v>
      </c>
      <c r="D85" s="47" t="n">
        <v>0.416666666666667</v>
      </c>
      <c r="E85" s="47" t="n">
        <v>0.458333333333333</v>
      </c>
      <c r="F85" s="46" t="s">
        <v>97</v>
      </c>
      <c r="G85" s="46" t="s">
        <v>142</v>
      </c>
      <c r="H85" s="48" t="n">
        <v>2</v>
      </c>
      <c r="I85" s="49"/>
      <c r="J85" s="50" t="n">
        <f aca="false">IF(OR($D85="",$E85="",Lists!$AB85&lt;=Lists!$AA85),"",(Lists!$AB85-Lists!$AA85)/60)</f>
        <v>1</v>
      </c>
      <c r="K85" s="51" t="str">
        <f aca="false">IF(COUNTA($B85:$E85)&lt;4,"",IF(Lists!$AB85&lt;=Lists!$AA85,"Check times",IF(COUNTIF(BookingDates,$B85)=0,"Outside range",IF(COUNTIF(RoomList,$C85)=0,"Unknown room",IF(SUMPRODUCT((BkRoom=$C85)*(BkDate=$B85)*(BkStartMin&lt;Lists!$AB85)*(BkEndMin&gt;Lists!$AA85))&gt;1,"Conflict","OK")))))</f>
        <v>OK</v>
      </c>
      <c r="L85" s="52" t="str">
        <f aca="false">IF(OR($C85="",$H85="",Lists!$Z85=""),"",IF($H85&gt;Lists!$Z85,"Over capacity",IF(AND($H85*2&lt;=Lists!$Z85,Lists!$Z85-$H85&gt;=4),"Oversized room","Good fit")))</f>
        <v>Good fit</v>
      </c>
    </row>
    <row r="86" customFormat="false" ht="16.5" hidden="false" customHeight="true" outlineLevel="0" collapsed="false">
      <c r="A86" s="44" t="n">
        <v>78</v>
      </c>
      <c r="B86" s="45" t="n">
        <f aca="false">Lists!$H$2</f>
        <v>46245</v>
      </c>
      <c r="C86" s="46" t="s">
        <v>72</v>
      </c>
      <c r="D86" s="47" t="n">
        <v>0.4375</v>
      </c>
      <c r="E86" s="47" t="n">
        <v>0.458333333333333</v>
      </c>
      <c r="F86" s="46" t="s">
        <v>108</v>
      </c>
      <c r="G86" s="46" t="s">
        <v>148</v>
      </c>
      <c r="H86" s="48" t="n">
        <v>8</v>
      </c>
      <c r="I86" s="49"/>
      <c r="J86" s="50" t="n">
        <f aca="false">IF(OR($D86="",$E86="",Lists!$AB86&lt;=Lists!$AA86),"",(Lists!$AB86-Lists!$AA86)/60)</f>
        <v>0.5</v>
      </c>
      <c r="K86" s="51" t="str">
        <f aca="false">IF(COUNTA($B86:$E86)&lt;4,"",IF(Lists!$AB86&lt;=Lists!$AA86,"Check times",IF(COUNTIF(BookingDates,$B86)=0,"Outside range",IF(COUNTIF(RoomList,$C86)=0,"Unknown room",IF(SUMPRODUCT((BkRoom=$C86)*(BkDate=$B86)*(BkStartMin&lt;Lists!$AB86)*(BkEndMin&gt;Lists!$AA86))&gt;1,"Conflict","OK")))))</f>
        <v>OK</v>
      </c>
      <c r="L86" s="52" t="str">
        <f aca="false">IF(OR($C86="",$H86="",Lists!$Z86=""),"",IF($H86&gt;Lists!$Z86,"Over capacity",IF(AND($H86*2&lt;=Lists!$Z86,Lists!$Z86-$H86&gt;=4),"Oversized room","Good fit")))</f>
        <v>Good fit</v>
      </c>
    </row>
    <row r="87" customFormat="false" ht="16.5" hidden="false" customHeight="true" outlineLevel="0" collapsed="false">
      <c r="A87" s="44" t="n">
        <v>79</v>
      </c>
      <c r="B87" s="45" t="n">
        <f aca="false">Lists!$H$2</f>
        <v>46245</v>
      </c>
      <c r="C87" s="46" t="s">
        <v>79</v>
      </c>
      <c r="D87" s="47" t="n">
        <v>0.458333333333333</v>
      </c>
      <c r="E87" s="47" t="n">
        <v>0.479166666666667</v>
      </c>
      <c r="F87" s="46" t="s">
        <v>70</v>
      </c>
      <c r="G87" s="46" t="s">
        <v>140</v>
      </c>
      <c r="H87" s="48" t="n">
        <v>3</v>
      </c>
      <c r="I87" s="49"/>
      <c r="J87" s="50" t="n">
        <f aca="false">IF(OR($D87="",$E87="",Lists!$AB87&lt;=Lists!$AA87),"",(Lists!$AB87-Lists!$AA87)/60)</f>
        <v>0.5</v>
      </c>
      <c r="K87" s="51" t="str">
        <f aca="false">IF(COUNTA($B87:$E87)&lt;4,"",IF(Lists!$AB87&lt;=Lists!$AA87,"Check times",IF(COUNTIF(BookingDates,$B87)=0,"Outside range",IF(COUNTIF(RoomList,$C87)=0,"Unknown room",IF(SUMPRODUCT((BkRoom=$C87)*(BkDate=$B87)*(BkStartMin&lt;Lists!$AB87)*(BkEndMin&gt;Lists!$AA87))&gt;1,"Conflict","OK")))))</f>
        <v>OK</v>
      </c>
      <c r="L87" s="52" t="str">
        <f aca="false">IF(OR($C87="",$H87="",Lists!$Z87=""),"",IF($H87&gt;Lists!$Z87,"Over capacity",IF(AND($H87*2&lt;=Lists!$Z87,Lists!$Z87-$H87&gt;=4),"Oversized room","Good fit")))</f>
        <v>Good fit</v>
      </c>
    </row>
    <row r="88" customFormat="false" ht="16.5" hidden="false" customHeight="true" outlineLevel="0" collapsed="false">
      <c r="A88" s="44" t="n">
        <v>80</v>
      </c>
      <c r="B88" s="45" t="n">
        <f aca="false">Lists!$H$2</f>
        <v>46245</v>
      </c>
      <c r="C88" s="46" t="s">
        <v>83</v>
      </c>
      <c r="D88" s="47" t="n">
        <v>0.458333333333333</v>
      </c>
      <c r="E88" s="47" t="n">
        <v>0.479166666666667</v>
      </c>
      <c r="F88" s="46" t="s">
        <v>106</v>
      </c>
      <c r="G88" s="46" t="s">
        <v>137</v>
      </c>
      <c r="H88" s="48" t="n">
        <v>3</v>
      </c>
      <c r="I88" s="49"/>
      <c r="J88" s="50" t="n">
        <f aca="false">IF(OR($D88="",$E88="",Lists!$AB88&lt;=Lists!$AA88),"",(Lists!$AB88-Lists!$AA88)/60)</f>
        <v>0.5</v>
      </c>
      <c r="K88" s="51" t="str">
        <f aca="false">IF(COUNTA($B88:$E88)&lt;4,"",IF(Lists!$AB88&lt;=Lists!$AA88,"Check times",IF(COUNTIF(BookingDates,$B88)=0,"Outside range",IF(COUNTIF(RoomList,$C88)=0,"Unknown room",IF(SUMPRODUCT((BkRoom=$C88)*(BkDate=$B88)*(BkStartMin&lt;Lists!$AB88)*(BkEndMin&gt;Lists!$AA88))&gt;1,"Conflict","OK")))))</f>
        <v>OK</v>
      </c>
      <c r="L88" s="52" t="str">
        <f aca="false">IF(OR($C88="",$H88="",Lists!$Z88=""),"",IF($H88&gt;Lists!$Z88,"Over capacity",IF(AND($H88*2&lt;=Lists!$Z88,Lists!$Z88-$H88&gt;=4),"Oversized room","Good fit")))</f>
        <v>Oversized room</v>
      </c>
    </row>
    <row r="89" customFormat="false" ht="16.5" hidden="false" customHeight="true" outlineLevel="0" collapsed="false">
      <c r="A89" s="44" t="n">
        <v>81</v>
      </c>
      <c r="B89" s="45" t="n">
        <f aca="false">Lists!$H$2</f>
        <v>46245</v>
      </c>
      <c r="C89" s="46" t="s">
        <v>72</v>
      </c>
      <c r="D89" s="47" t="n">
        <v>0.583333333333333</v>
      </c>
      <c r="E89" s="47" t="n">
        <v>0.604166666666667</v>
      </c>
      <c r="F89" s="46" t="s">
        <v>77</v>
      </c>
      <c r="G89" s="46" t="s">
        <v>142</v>
      </c>
      <c r="H89" s="48" t="n">
        <v>2</v>
      </c>
      <c r="I89" s="49"/>
      <c r="J89" s="50" t="n">
        <f aca="false">IF(OR($D89="",$E89="",Lists!$AB89&lt;=Lists!$AA89),"",(Lists!$AB89-Lists!$AA89)/60)</f>
        <v>0.5</v>
      </c>
      <c r="K89" s="51" t="str">
        <f aca="false">IF(COUNTA($B89:$E89)&lt;4,"",IF(Lists!$AB89&lt;=Lists!$AA89,"Check times",IF(COUNTIF(BookingDates,$B89)=0,"Outside range",IF(COUNTIF(RoomList,$C89)=0,"Unknown room",IF(SUMPRODUCT((BkRoom=$C89)*(BkDate=$B89)*(BkStartMin&lt;Lists!$AB89)*(BkEndMin&gt;Lists!$AA89))&gt;1,"Conflict","OK")))))</f>
        <v>OK</v>
      </c>
      <c r="L89" s="52" t="str">
        <f aca="false">IF(OR($C89="",$H89="",Lists!$Z89=""),"",IF($H89&gt;Lists!$Z89,"Over capacity",IF(AND($H89*2&lt;=Lists!$Z89,Lists!$Z89-$H89&gt;=4),"Oversized room","Good fit")))</f>
        <v>Oversized room</v>
      </c>
    </row>
    <row r="90" customFormat="false" ht="16.5" hidden="false" customHeight="true" outlineLevel="0" collapsed="false">
      <c r="A90" s="44" t="n">
        <v>82</v>
      </c>
      <c r="B90" s="45" t="n">
        <f aca="false">Lists!$H$2</f>
        <v>46245</v>
      </c>
      <c r="C90" s="46" t="s">
        <v>79</v>
      </c>
      <c r="D90" s="47" t="n">
        <v>0.604166666666667</v>
      </c>
      <c r="E90" s="47" t="n">
        <v>0.645833333333333</v>
      </c>
      <c r="F90" s="46" t="s">
        <v>77</v>
      </c>
      <c r="G90" s="46" t="s">
        <v>146</v>
      </c>
      <c r="H90" s="48" t="n">
        <v>4</v>
      </c>
      <c r="I90" s="49"/>
      <c r="J90" s="50" t="n">
        <f aca="false">IF(OR($D90="",$E90="",Lists!$AB90&lt;=Lists!$AA90),"",(Lists!$AB90-Lists!$AA90)/60)</f>
        <v>1</v>
      </c>
      <c r="K90" s="51" t="str">
        <f aca="false">IF(COUNTA($B90:$E90)&lt;4,"",IF(Lists!$AB90&lt;=Lists!$AA90,"Check times",IF(COUNTIF(BookingDates,$B90)=0,"Outside range",IF(COUNTIF(RoomList,$C90)=0,"Unknown room",IF(SUMPRODUCT((BkRoom=$C90)*(BkDate=$B90)*(BkStartMin&lt;Lists!$AB90)*(BkEndMin&gt;Lists!$AA90))&gt;1,"Conflict","OK")))))</f>
        <v>OK</v>
      </c>
      <c r="L90" s="52" t="str">
        <f aca="false">IF(OR($C90="",$H90="",Lists!$Z90=""),"",IF($H90&gt;Lists!$Z90,"Over capacity",IF(AND($H90*2&lt;=Lists!$Z90,Lists!$Z90-$H90&gt;=4),"Oversized room","Good fit")))</f>
        <v>Good fit</v>
      </c>
    </row>
    <row r="91" customFormat="false" ht="16.5" hidden="false" customHeight="true" outlineLevel="0" collapsed="false">
      <c r="A91" s="44" t="n">
        <v>83</v>
      </c>
      <c r="B91" s="45" t="n">
        <f aca="false">Lists!$H$2</f>
        <v>46245</v>
      </c>
      <c r="C91" s="46" t="s">
        <v>72</v>
      </c>
      <c r="D91" s="47" t="n">
        <v>0.625</v>
      </c>
      <c r="E91" s="47" t="n">
        <v>0.666666666666667</v>
      </c>
      <c r="F91" s="46" t="s">
        <v>106</v>
      </c>
      <c r="G91" s="46" t="s">
        <v>148</v>
      </c>
      <c r="H91" s="48" t="n">
        <v>5</v>
      </c>
      <c r="I91" s="49"/>
      <c r="J91" s="50" t="n">
        <f aca="false">IF(OR($D91="",$E91="",Lists!$AB91&lt;=Lists!$AA91),"",(Lists!$AB91-Lists!$AA91)/60)</f>
        <v>1</v>
      </c>
      <c r="K91" s="51" t="str">
        <f aca="false">IF(COUNTA($B91:$E91)&lt;4,"",IF(Lists!$AB91&lt;=Lists!$AA91,"Check times",IF(COUNTIF(BookingDates,$B91)=0,"Outside range",IF(COUNTIF(RoomList,$C91)=0,"Unknown room",IF(SUMPRODUCT((BkRoom=$C91)*(BkDate=$B91)*(BkStartMin&lt;Lists!$AB91)*(BkEndMin&gt;Lists!$AA91))&gt;1,"Conflict","OK")))))</f>
        <v>OK</v>
      </c>
      <c r="L91" s="52" t="str">
        <f aca="false">IF(OR($C91="",$H91="",Lists!$Z91=""),"",IF($H91&gt;Lists!$Z91,"Over capacity",IF(AND($H91*2&lt;=Lists!$Z91,Lists!$Z91-$H91&gt;=4),"Oversized room","Good fit")))</f>
        <v>Good fit</v>
      </c>
    </row>
    <row r="92" customFormat="false" ht="16.5" hidden="false" customHeight="true" outlineLevel="0" collapsed="false">
      <c r="A92" s="44" t="n">
        <v>84</v>
      </c>
      <c r="B92" s="45" t="n">
        <f aca="false">Lists!$H$2</f>
        <v>46245</v>
      </c>
      <c r="C92" s="46" t="s">
        <v>75</v>
      </c>
      <c r="D92" s="47" t="n">
        <v>0.625</v>
      </c>
      <c r="E92" s="47" t="n">
        <v>0.645833333333333</v>
      </c>
      <c r="F92" s="46" t="s">
        <v>106</v>
      </c>
      <c r="G92" s="46" t="s">
        <v>135</v>
      </c>
      <c r="H92" s="48" t="n">
        <v>2</v>
      </c>
      <c r="I92" s="49"/>
      <c r="J92" s="50" t="n">
        <f aca="false">IF(OR($D92="",$E92="",Lists!$AB92&lt;=Lists!$AA92),"",(Lists!$AB92-Lists!$AA92)/60)</f>
        <v>0.5</v>
      </c>
      <c r="K92" s="51" t="str">
        <f aca="false">IF(COUNTA($B92:$E92)&lt;4,"",IF(Lists!$AB92&lt;=Lists!$AA92,"Check times",IF(COUNTIF(BookingDates,$B92)=0,"Outside range",IF(COUNTIF(RoomList,$C92)=0,"Unknown room",IF(SUMPRODUCT((BkRoom=$C92)*(BkDate=$B92)*(BkStartMin&lt;Lists!$AB92)*(BkEndMin&gt;Lists!$AA92))&gt;1,"Conflict","OK")))))</f>
        <v>OK</v>
      </c>
      <c r="L92" s="52" t="str">
        <f aca="false">IF(OR($C92="",$H92="",Lists!$Z92=""),"",IF($H92&gt;Lists!$Z92,"Over capacity",IF(AND($H92*2&lt;=Lists!$Z92,Lists!$Z92-$H92&gt;=4),"Oversized room","Good fit")))</f>
        <v>Oversized room</v>
      </c>
    </row>
    <row r="93" customFormat="false" ht="16.5" hidden="false" customHeight="true" outlineLevel="0" collapsed="false">
      <c r="A93" s="44" t="n">
        <v>85</v>
      </c>
      <c r="B93" s="45" t="n">
        <f aca="false">Lists!$I$2</f>
        <v>46246</v>
      </c>
      <c r="C93" s="46" t="s">
        <v>67</v>
      </c>
      <c r="D93" s="47" t="n">
        <v>0.375</v>
      </c>
      <c r="E93" s="47" t="n">
        <v>0.395833333333333</v>
      </c>
      <c r="F93" s="46" t="s">
        <v>101</v>
      </c>
      <c r="G93" s="46" t="s">
        <v>139</v>
      </c>
      <c r="H93" s="48" t="n">
        <v>2</v>
      </c>
      <c r="I93" s="49"/>
      <c r="J93" s="50" t="n">
        <f aca="false">IF(OR($D93="",$E93="",Lists!$AB93&lt;=Lists!$AA93),"",(Lists!$AB93-Lists!$AA93)/60)</f>
        <v>0.5</v>
      </c>
      <c r="K93" s="51" t="str">
        <f aca="false">IF(COUNTA($B93:$E93)&lt;4,"",IF(Lists!$AB93&lt;=Lists!$AA93,"Check times",IF(COUNTIF(BookingDates,$B93)=0,"Outside range",IF(COUNTIF(RoomList,$C93)=0,"Unknown room",IF(SUMPRODUCT((BkRoom=$C93)*(BkDate=$B93)*(BkStartMin&lt;Lists!$AB93)*(BkEndMin&gt;Lists!$AA93))&gt;1,"Conflict","OK")))))</f>
        <v>OK</v>
      </c>
      <c r="L93" s="52" t="str">
        <f aca="false">IF(OR($C93="",$H93="",Lists!$Z93=""),"",IF($H93&gt;Lists!$Z93,"Over capacity",IF(AND($H93*2&lt;=Lists!$Z93,Lists!$Z93-$H93&gt;=4),"Oversized room","Good fit")))</f>
        <v>Oversized room</v>
      </c>
    </row>
    <row r="94" customFormat="false" ht="16.5" hidden="false" customHeight="true" outlineLevel="0" collapsed="false">
      <c r="A94" s="44" t="n">
        <v>86</v>
      </c>
      <c r="B94" s="45" t="n">
        <f aca="false">Lists!$I$2</f>
        <v>46246</v>
      </c>
      <c r="C94" s="46" t="s">
        <v>67</v>
      </c>
      <c r="D94" s="47" t="n">
        <v>0.395833333333333</v>
      </c>
      <c r="E94" s="47" t="n">
        <v>0.4375</v>
      </c>
      <c r="F94" s="46" t="s">
        <v>97</v>
      </c>
      <c r="G94" s="46" t="s">
        <v>133</v>
      </c>
      <c r="H94" s="48" t="n">
        <v>2</v>
      </c>
      <c r="I94" s="49"/>
      <c r="J94" s="50" t="n">
        <f aca="false">IF(OR($D94="",$E94="",Lists!$AB94&lt;=Lists!$AA94),"",(Lists!$AB94-Lists!$AA94)/60)</f>
        <v>1</v>
      </c>
      <c r="K94" s="51" t="str">
        <f aca="false">IF(COUNTA($B94:$E94)&lt;4,"",IF(Lists!$AB94&lt;=Lists!$AA94,"Check times",IF(COUNTIF(BookingDates,$B94)=0,"Outside range",IF(COUNTIF(RoomList,$C94)=0,"Unknown room",IF(SUMPRODUCT((BkRoom=$C94)*(BkDate=$B94)*(BkStartMin&lt;Lists!$AB94)*(BkEndMin&gt;Lists!$AA94))&gt;1,"Conflict","OK")))))</f>
        <v>OK</v>
      </c>
      <c r="L94" s="52" t="str">
        <f aca="false">IF(OR($C94="",$H94="",Lists!$Z94=""),"",IF($H94&gt;Lists!$Z94,"Over capacity",IF(AND($H94*2&lt;=Lists!$Z94,Lists!$Z94-$H94&gt;=4),"Oversized room","Good fit")))</f>
        <v>Oversized room</v>
      </c>
    </row>
    <row r="95" customFormat="false" ht="16.5" hidden="false" customHeight="true" outlineLevel="0" collapsed="false">
      <c r="A95" s="44" t="n">
        <v>87</v>
      </c>
      <c r="B95" s="45" t="n">
        <f aca="false">Lists!$I$2</f>
        <v>46246</v>
      </c>
      <c r="C95" s="46" t="s">
        <v>79</v>
      </c>
      <c r="D95" s="47" t="n">
        <v>0.416666666666667</v>
      </c>
      <c r="E95" s="47" t="n">
        <v>0.458333333333333</v>
      </c>
      <c r="F95" s="46" t="s">
        <v>91</v>
      </c>
      <c r="G95" s="46" t="s">
        <v>139</v>
      </c>
      <c r="H95" s="48" t="n">
        <v>2</v>
      </c>
      <c r="I95" s="49"/>
      <c r="J95" s="50" t="n">
        <f aca="false">IF(OR($D95="",$E95="",Lists!$AB95&lt;=Lists!$AA95),"",(Lists!$AB95-Lists!$AA95)/60)</f>
        <v>1</v>
      </c>
      <c r="K95" s="51" t="str">
        <f aca="false">IF(COUNTA($B95:$E95)&lt;4,"",IF(Lists!$AB95&lt;=Lists!$AA95,"Check times",IF(COUNTIF(BookingDates,$B95)=0,"Outside range",IF(COUNTIF(RoomList,$C95)=0,"Unknown room",IF(SUMPRODUCT((BkRoom=$C95)*(BkDate=$B95)*(BkStartMin&lt;Lists!$AB95)*(BkEndMin&gt;Lists!$AA95))&gt;1,"Conflict","OK")))))</f>
        <v>OK</v>
      </c>
      <c r="L95" s="52" t="str">
        <f aca="false">IF(OR($C95="",$H95="",Lists!$Z95=""),"",IF($H95&gt;Lists!$Z95,"Over capacity",IF(AND($H95*2&lt;=Lists!$Z95,Lists!$Z95-$H95&gt;=4),"Oversized room","Good fit")))</f>
        <v>Good fit</v>
      </c>
    </row>
    <row r="96" customFormat="false" ht="16.5" hidden="false" customHeight="true" outlineLevel="0" collapsed="false">
      <c r="A96" s="44" t="n">
        <v>88</v>
      </c>
      <c r="B96" s="45" t="n">
        <f aca="false">Lists!$I$2</f>
        <v>46246</v>
      </c>
      <c r="C96" s="46" t="s">
        <v>83</v>
      </c>
      <c r="D96" s="47" t="n">
        <v>0.416666666666667</v>
      </c>
      <c r="E96" s="47" t="n">
        <v>0.458333333333333</v>
      </c>
      <c r="F96" s="46" t="s">
        <v>101</v>
      </c>
      <c r="G96" s="46" t="s">
        <v>147</v>
      </c>
      <c r="H96" s="48" t="n">
        <v>8</v>
      </c>
      <c r="I96" s="49"/>
      <c r="J96" s="50" t="n">
        <f aca="false">IF(OR($D96="",$E96="",Lists!$AB96&lt;=Lists!$AA96),"",(Lists!$AB96-Lists!$AA96)/60)</f>
        <v>1</v>
      </c>
      <c r="K96" s="51" t="str">
        <f aca="false">IF(COUNTA($B96:$E96)&lt;4,"",IF(Lists!$AB96&lt;=Lists!$AA96,"Check times",IF(COUNTIF(BookingDates,$B96)=0,"Outside range",IF(COUNTIF(RoomList,$C96)=0,"Unknown room",IF(SUMPRODUCT((BkRoom=$C96)*(BkDate=$B96)*(BkStartMin&lt;Lists!$AB96)*(BkEndMin&gt;Lists!$AA96))&gt;1,"Conflict","OK")))))</f>
        <v>OK</v>
      </c>
      <c r="L96" s="52" t="str">
        <f aca="false">IF(OR($C96="",$H96="",Lists!$Z96=""),"",IF($H96&gt;Lists!$Z96,"Over capacity",IF(AND($H96*2&lt;=Lists!$Z96,Lists!$Z96-$H96&gt;=4),"Oversized room","Good fit")))</f>
        <v>Good fit</v>
      </c>
    </row>
    <row r="97" customFormat="false" ht="16.5" hidden="false" customHeight="true" outlineLevel="0" collapsed="false">
      <c r="A97" s="44" t="n">
        <v>89</v>
      </c>
      <c r="B97" s="45" t="n">
        <f aca="false">Lists!$I$2</f>
        <v>46246</v>
      </c>
      <c r="C97" s="46" t="s">
        <v>72</v>
      </c>
      <c r="D97" s="47" t="n">
        <v>0.4375</v>
      </c>
      <c r="E97" s="47" t="n">
        <v>0.479166666666667</v>
      </c>
      <c r="F97" s="46" t="s">
        <v>90</v>
      </c>
      <c r="G97" s="46" t="s">
        <v>135</v>
      </c>
      <c r="H97" s="48" t="n">
        <v>2</v>
      </c>
      <c r="I97" s="49"/>
      <c r="J97" s="50" t="n">
        <f aca="false">IF(OR($D97="",$E97="",Lists!$AB97&lt;=Lists!$AA97),"",(Lists!$AB97-Lists!$AA97)/60)</f>
        <v>1</v>
      </c>
      <c r="K97" s="51" t="str">
        <f aca="false">IF(COUNTA($B97:$E97)&lt;4,"",IF(Lists!$AB97&lt;=Lists!$AA97,"Check times",IF(COUNTIF(BookingDates,$B97)=0,"Outside range",IF(COUNTIF(RoomList,$C97)=0,"Unknown room",IF(SUMPRODUCT((BkRoom=$C97)*(BkDate=$B97)*(BkStartMin&lt;Lists!$AB97)*(BkEndMin&gt;Lists!$AA97))&gt;1,"Conflict","OK")))))</f>
        <v>OK</v>
      </c>
      <c r="L97" s="52" t="str">
        <f aca="false">IF(OR($C97="",$H97="",Lists!$Z97=""),"",IF($H97&gt;Lists!$Z97,"Over capacity",IF(AND($H97*2&lt;=Lists!$Z97,Lists!$Z97-$H97&gt;=4),"Oversized room","Good fit")))</f>
        <v>Oversized room</v>
      </c>
    </row>
    <row r="98" customFormat="false" ht="16.5" hidden="false" customHeight="true" outlineLevel="0" collapsed="false">
      <c r="A98" s="44" t="n">
        <v>90</v>
      </c>
      <c r="B98" s="45" t="n">
        <f aca="false">Lists!$I$2</f>
        <v>46246</v>
      </c>
      <c r="C98" s="46" t="s">
        <v>75</v>
      </c>
      <c r="D98" s="47" t="n">
        <v>0.4375</v>
      </c>
      <c r="E98" s="47" t="n">
        <v>0.479166666666667</v>
      </c>
      <c r="F98" s="46" t="s">
        <v>106</v>
      </c>
      <c r="G98" s="46" t="s">
        <v>143</v>
      </c>
      <c r="H98" s="48" t="n">
        <v>3</v>
      </c>
      <c r="I98" s="49"/>
      <c r="J98" s="50" t="n">
        <f aca="false">IF(OR($D98="",$E98="",Lists!$AB98&lt;=Lists!$AA98),"",(Lists!$AB98-Lists!$AA98)/60)</f>
        <v>1</v>
      </c>
      <c r="K98" s="51" t="str">
        <f aca="false">IF(COUNTA($B98:$E98)&lt;4,"",IF(Lists!$AB98&lt;=Lists!$AA98,"Check times",IF(COUNTIF(BookingDates,$B98)=0,"Outside range",IF(COUNTIF(RoomList,$C98)=0,"Unknown room",IF(SUMPRODUCT((BkRoom=$C98)*(BkDate=$B98)*(BkStartMin&lt;Lists!$AB98)*(BkEndMin&gt;Lists!$AA98))&gt;1,"Conflict","OK")))))</f>
        <v>OK</v>
      </c>
      <c r="L98" s="52" t="str">
        <f aca="false">IF(OR($C98="",$H98="",Lists!$Z98=""),"",IF($H98&gt;Lists!$Z98,"Over capacity",IF(AND($H98*2&lt;=Lists!$Z98,Lists!$Z98-$H98&gt;=4),"Oversized room","Good fit")))</f>
        <v>Good fit</v>
      </c>
    </row>
    <row r="99" customFormat="false" ht="16.5" hidden="false" customHeight="true" outlineLevel="0" collapsed="false">
      <c r="A99" s="44" t="n">
        <v>91</v>
      </c>
      <c r="B99" s="45" t="n">
        <f aca="false">Lists!$I$2</f>
        <v>46246</v>
      </c>
      <c r="C99" s="46" t="s">
        <v>86</v>
      </c>
      <c r="D99" s="47" t="n">
        <v>0.4375</v>
      </c>
      <c r="E99" s="47" t="n">
        <v>0.458333333333333</v>
      </c>
      <c r="F99" s="46" t="s">
        <v>98</v>
      </c>
      <c r="G99" s="46" t="s">
        <v>139</v>
      </c>
      <c r="H99" s="48" t="n">
        <v>2</v>
      </c>
      <c r="I99" s="49"/>
      <c r="J99" s="50" t="n">
        <f aca="false">IF(OR($D99="",$E99="",Lists!$AB99&lt;=Lists!$AA99),"",(Lists!$AB99-Lists!$AA99)/60)</f>
        <v>0.5</v>
      </c>
      <c r="K99" s="51" t="str">
        <f aca="false">IF(COUNTA($B99:$E99)&lt;4,"",IF(Lists!$AB99&lt;=Lists!$AA99,"Check times",IF(COUNTIF(BookingDates,$B99)=0,"Outside range",IF(COUNTIF(RoomList,$C99)=0,"Unknown room",IF(SUMPRODUCT((BkRoom=$C99)*(BkDate=$B99)*(BkStartMin&lt;Lists!$AB99)*(BkEndMin&gt;Lists!$AA99))&gt;1,"Conflict","OK")))))</f>
        <v>OK</v>
      </c>
      <c r="L99" s="52" t="str">
        <f aca="false">IF(OR($C99="",$H99="",Lists!$Z99=""),"",IF($H99&gt;Lists!$Z99,"Over capacity",IF(AND($H99*2&lt;=Lists!$Z99,Lists!$Z99-$H99&gt;=4),"Oversized room","Good fit")))</f>
        <v>Good fit</v>
      </c>
    </row>
    <row r="100" customFormat="false" ht="16.5" hidden="false" customHeight="true" outlineLevel="0" collapsed="false">
      <c r="A100" s="44" t="n">
        <v>92</v>
      </c>
      <c r="B100" s="45" t="n">
        <f aca="false">Lists!$I$2</f>
        <v>46246</v>
      </c>
      <c r="C100" s="46" t="s">
        <v>67</v>
      </c>
      <c r="D100" s="47" t="n">
        <v>0.479166666666667</v>
      </c>
      <c r="E100" s="47" t="n">
        <v>0.520833333333333</v>
      </c>
      <c r="F100" s="46" t="s">
        <v>95</v>
      </c>
      <c r="G100" s="46" t="s">
        <v>140</v>
      </c>
      <c r="H100" s="48" t="n">
        <v>5</v>
      </c>
      <c r="I100" s="49"/>
      <c r="J100" s="50" t="n">
        <f aca="false">IF(OR($D100="",$E100="",Lists!$AB100&lt;=Lists!$AA100),"",(Lists!$AB100-Lists!$AA100)/60)</f>
        <v>1</v>
      </c>
      <c r="K100" s="51" t="str">
        <f aca="false">IF(COUNTA($B100:$E100)&lt;4,"",IF(Lists!$AB100&lt;=Lists!$AA100,"Check times",IF(COUNTIF(BookingDates,$B100)=0,"Outside range",IF(COUNTIF(RoomList,$C100)=0,"Unknown room",IF(SUMPRODUCT((BkRoom=$C100)*(BkDate=$B100)*(BkStartMin&lt;Lists!$AB100)*(BkEndMin&gt;Lists!$AA100))&gt;1,"Conflict","OK")))))</f>
        <v>OK</v>
      </c>
      <c r="L100" s="52" t="str">
        <f aca="false">IF(OR($C100="",$H100="",Lists!$Z100=""),"",IF($H100&gt;Lists!$Z100,"Over capacity",IF(AND($H100*2&lt;=Lists!$Z100,Lists!$Z100-$H100&gt;=4),"Oversized room","Good fit")))</f>
        <v>Oversized room</v>
      </c>
    </row>
    <row r="101" customFormat="false" ht="16.5" hidden="false" customHeight="true" outlineLevel="0" collapsed="false">
      <c r="A101" s="44" t="n">
        <v>93</v>
      </c>
      <c r="B101" s="45" t="n">
        <f aca="false">Lists!$I$2</f>
        <v>46246</v>
      </c>
      <c r="C101" s="46" t="s">
        <v>72</v>
      </c>
      <c r="D101" s="47" t="n">
        <v>0.604166666666667</v>
      </c>
      <c r="E101" s="47" t="n">
        <v>0.625</v>
      </c>
      <c r="F101" s="46" t="s">
        <v>82</v>
      </c>
      <c r="G101" s="46" t="s">
        <v>140</v>
      </c>
      <c r="H101" s="48" t="n">
        <v>5</v>
      </c>
      <c r="I101" s="49"/>
      <c r="J101" s="50" t="n">
        <f aca="false">IF(OR($D101="",$E101="",Lists!$AB101&lt;=Lists!$AA101),"",(Lists!$AB101-Lists!$AA101)/60)</f>
        <v>0.5</v>
      </c>
      <c r="K101" s="51" t="str">
        <f aca="false">IF(COUNTA($B101:$E101)&lt;4,"",IF(Lists!$AB101&lt;=Lists!$AA101,"Check times",IF(COUNTIF(BookingDates,$B101)=0,"Outside range",IF(COUNTIF(RoomList,$C101)=0,"Unknown room",IF(SUMPRODUCT((BkRoom=$C101)*(BkDate=$B101)*(BkStartMin&lt;Lists!$AB101)*(BkEndMin&gt;Lists!$AA101))&gt;1,"Conflict","OK")))))</f>
        <v>OK</v>
      </c>
      <c r="L101" s="52" t="str">
        <f aca="false">IF(OR($C101="",$H101="",Lists!$Z101=""),"",IF($H101&gt;Lists!$Z101,"Over capacity",IF(AND($H101*2&lt;=Lists!$Z101,Lists!$Z101-$H101&gt;=4),"Oversized room","Good fit")))</f>
        <v>Good fit</v>
      </c>
    </row>
    <row r="102" customFormat="false" ht="16.5" hidden="false" customHeight="true" outlineLevel="0" collapsed="false">
      <c r="A102" s="44" t="n">
        <v>94</v>
      </c>
      <c r="B102" s="45" t="n">
        <f aca="false">Lists!$I$2</f>
        <v>46246</v>
      </c>
      <c r="C102" s="46" t="s">
        <v>79</v>
      </c>
      <c r="D102" s="47" t="n">
        <v>0.604166666666667</v>
      </c>
      <c r="E102" s="47" t="n">
        <v>0.625</v>
      </c>
      <c r="F102" s="46" t="s">
        <v>102</v>
      </c>
      <c r="G102" s="46" t="s">
        <v>143</v>
      </c>
      <c r="H102" s="48" t="n">
        <v>4</v>
      </c>
      <c r="I102" s="49"/>
      <c r="J102" s="50" t="n">
        <f aca="false">IF(OR($D102="",$E102="",Lists!$AB102&lt;=Lists!$AA102),"",(Lists!$AB102-Lists!$AA102)/60)</f>
        <v>0.5</v>
      </c>
      <c r="K102" s="51" t="str">
        <f aca="false">IF(COUNTA($B102:$E102)&lt;4,"",IF(Lists!$AB102&lt;=Lists!$AA102,"Check times",IF(COUNTIF(BookingDates,$B102)=0,"Outside range",IF(COUNTIF(RoomList,$C102)=0,"Unknown room",IF(SUMPRODUCT((BkRoom=$C102)*(BkDate=$B102)*(BkStartMin&lt;Lists!$AB102)*(BkEndMin&gt;Lists!$AA102))&gt;1,"Conflict","OK")))))</f>
        <v>OK</v>
      </c>
      <c r="L102" s="52" t="str">
        <f aca="false">IF(OR($C102="",$H102="",Lists!$Z102=""),"",IF($H102&gt;Lists!$Z102,"Over capacity",IF(AND($H102*2&lt;=Lists!$Z102,Lists!$Z102-$H102&gt;=4),"Oversized room","Good fit")))</f>
        <v>Good fit</v>
      </c>
    </row>
    <row r="103" customFormat="false" ht="16.5" hidden="false" customHeight="true" outlineLevel="0" collapsed="false">
      <c r="A103" s="44" t="n">
        <v>95</v>
      </c>
      <c r="B103" s="45" t="n">
        <f aca="false">Lists!$I$2</f>
        <v>46246</v>
      </c>
      <c r="C103" s="46" t="s">
        <v>86</v>
      </c>
      <c r="D103" s="47" t="n">
        <v>0.604166666666667</v>
      </c>
      <c r="E103" s="47" t="n">
        <v>0.625</v>
      </c>
      <c r="F103" s="46" t="s">
        <v>85</v>
      </c>
      <c r="G103" s="46" t="s">
        <v>135</v>
      </c>
      <c r="H103" s="48" t="n">
        <v>2</v>
      </c>
      <c r="I103" s="49"/>
      <c r="J103" s="50" t="n">
        <f aca="false">IF(OR($D103="",$E103="",Lists!$AB103&lt;=Lists!$AA103),"",(Lists!$AB103-Lists!$AA103)/60)</f>
        <v>0.5</v>
      </c>
      <c r="K103" s="51" t="str">
        <f aca="false">IF(COUNTA($B103:$E103)&lt;4,"",IF(Lists!$AB103&lt;=Lists!$AA103,"Check times",IF(COUNTIF(BookingDates,$B103)=0,"Outside range",IF(COUNTIF(RoomList,$C103)=0,"Unknown room",IF(SUMPRODUCT((BkRoom=$C103)*(BkDate=$B103)*(BkStartMin&lt;Lists!$AB103)*(BkEndMin&gt;Lists!$AA103))&gt;1,"Conflict","OK")))))</f>
        <v>OK</v>
      </c>
      <c r="L103" s="52" t="str">
        <f aca="false">IF(OR($C103="",$H103="",Lists!$Z103=""),"",IF($H103&gt;Lists!$Z103,"Over capacity",IF(AND($H103*2&lt;=Lists!$Z103,Lists!$Z103-$H103&gt;=4),"Oversized room","Good fit")))</f>
        <v>Good fit</v>
      </c>
    </row>
    <row r="104" customFormat="false" ht="16.5" hidden="false" customHeight="true" outlineLevel="0" collapsed="false">
      <c r="A104" s="44" t="n">
        <v>96</v>
      </c>
      <c r="B104" s="45" t="n">
        <f aca="false">Lists!$I$2</f>
        <v>46246</v>
      </c>
      <c r="C104" s="46" t="s">
        <v>83</v>
      </c>
      <c r="D104" s="47" t="n">
        <v>0.625</v>
      </c>
      <c r="E104" s="47" t="n">
        <v>0.6875</v>
      </c>
      <c r="F104" s="46" t="s">
        <v>96</v>
      </c>
      <c r="G104" s="46" t="s">
        <v>148</v>
      </c>
      <c r="H104" s="48" t="n">
        <v>8</v>
      </c>
      <c r="I104" s="49"/>
      <c r="J104" s="50" t="n">
        <f aca="false">IF(OR($D104="",$E104="",Lists!$AB104&lt;=Lists!$AA104),"",(Lists!$AB104-Lists!$AA104)/60)</f>
        <v>1.5</v>
      </c>
      <c r="K104" s="51" t="str">
        <f aca="false">IF(COUNTA($B104:$E104)&lt;4,"",IF(Lists!$AB104&lt;=Lists!$AA104,"Check times",IF(COUNTIF(BookingDates,$B104)=0,"Outside range",IF(COUNTIF(RoomList,$C104)=0,"Unknown room",IF(SUMPRODUCT((BkRoom=$C104)*(BkDate=$B104)*(BkStartMin&lt;Lists!$AB104)*(BkEndMin&gt;Lists!$AA104))&gt;1,"Conflict","OK")))))</f>
        <v>OK</v>
      </c>
      <c r="L104" s="52" t="str">
        <f aca="false">IF(OR($C104="",$H104="",Lists!$Z104=""),"",IF($H104&gt;Lists!$Z104,"Over capacity",IF(AND($H104*2&lt;=Lists!$Z104,Lists!$Z104-$H104&gt;=4),"Oversized room","Good fit")))</f>
        <v>Good fit</v>
      </c>
    </row>
    <row r="105" customFormat="false" ht="16.5" hidden="false" customHeight="true" outlineLevel="0" collapsed="false">
      <c r="A105" s="44" t="n">
        <v>97</v>
      </c>
      <c r="B105" s="45" t="n">
        <f aca="false">Lists!$J$2</f>
        <v>46247</v>
      </c>
      <c r="C105" s="46" t="s">
        <v>75</v>
      </c>
      <c r="D105" s="47" t="n">
        <v>0.375</v>
      </c>
      <c r="E105" s="47" t="n">
        <v>0.416666666666667</v>
      </c>
      <c r="F105" s="46" t="s">
        <v>102</v>
      </c>
      <c r="G105" s="46" t="s">
        <v>139</v>
      </c>
      <c r="H105" s="48" t="n">
        <v>3</v>
      </c>
      <c r="I105" s="49"/>
      <c r="J105" s="50" t="n">
        <f aca="false">IF(OR($D105="",$E105="",Lists!$AB105&lt;=Lists!$AA105),"",(Lists!$AB105-Lists!$AA105)/60)</f>
        <v>1</v>
      </c>
      <c r="K105" s="51" t="str">
        <f aca="false">IF(COUNTA($B105:$E105)&lt;4,"",IF(Lists!$AB105&lt;=Lists!$AA105,"Check times",IF(COUNTIF(BookingDates,$B105)=0,"Outside range",IF(COUNTIF(RoomList,$C105)=0,"Unknown room",IF(SUMPRODUCT((BkRoom=$C105)*(BkDate=$B105)*(BkStartMin&lt;Lists!$AB105)*(BkEndMin&gt;Lists!$AA105))&gt;1,"Conflict","OK")))))</f>
        <v>OK</v>
      </c>
      <c r="L105" s="52" t="str">
        <f aca="false">IF(OR($C105="",$H105="",Lists!$Z105=""),"",IF($H105&gt;Lists!$Z105,"Over capacity",IF(AND($H105*2&lt;=Lists!$Z105,Lists!$Z105-$H105&gt;=4),"Oversized room","Good fit")))</f>
        <v>Good fit</v>
      </c>
    </row>
    <row r="106" customFormat="false" ht="16.5" hidden="false" customHeight="true" outlineLevel="0" collapsed="false">
      <c r="A106" s="44" t="n">
        <v>98</v>
      </c>
      <c r="B106" s="45" t="n">
        <f aca="false">Lists!$J$2</f>
        <v>46247</v>
      </c>
      <c r="C106" s="46" t="s">
        <v>86</v>
      </c>
      <c r="D106" s="47" t="n">
        <v>0.395833333333333</v>
      </c>
      <c r="E106" s="47" t="n">
        <v>0.416666666666667</v>
      </c>
      <c r="F106" s="46" t="s">
        <v>101</v>
      </c>
      <c r="G106" s="46" t="s">
        <v>142</v>
      </c>
      <c r="H106" s="48" t="n">
        <v>2</v>
      </c>
      <c r="I106" s="49"/>
      <c r="J106" s="50" t="n">
        <f aca="false">IF(OR($D106="",$E106="",Lists!$AB106&lt;=Lists!$AA106),"",(Lists!$AB106-Lists!$AA106)/60)</f>
        <v>0.5</v>
      </c>
      <c r="K106" s="51" t="str">
        <f aca="false">IF(COUNTA($B106:$E106)&lt;4,"",IF(Lists!$AB106&lt;=Lists!$AA106,"Check times",IF(COUNTIF(BookingDates,$B106)=0,"Outside range",IF(COUNTIF(RoomList,$C106)=0,"Unknown room",IF(SUMPRODUCT((BkRoom=$C106)*(BkDate=$B106)*(BkStartMin&lt;Lists!$AB106)*(BkEndMin&gt;Lists!$AA106))&gt;1,"Conflict","OK")))))</f>
        <v>OK</v>
      </c>
      <c r="L106" s="52" t="str">
        <f aca="false">IF(OR($C106="",$H106="",Lists!$Z106=""),"",IF($H106&gt;Lists!$Z106,"Over capacity",IF(AND($H106*2&lt;=Lists!$Z106,Lists!$Z106-$H106&gt;=4),"Oversized room","Good fit")))</f>
        <v>Good fit</v>
      </c>
    </row>
    <row r="107" customFormat="false" ht="16.5" hidden="false" customHeight="true" outlineLevel="0" collapsed="false">
      <c r="A107" s="44" t="n">
        <v>99</v>
      </c>
      <c r="B107" s="45" t="n">
        <f aca="false">Lists!$J$2</f>
        <v>46247</v>
      </c>
      <c r="C107" s="46" t="s">
        <v>67</v>
      </c>
      <c r="D107" s="47" t="n">
        <v>0.416666666666667</v>
      </c>
      <c r="E107" s="47" t="n">
        <v>0.4375</v>
      </c>
      <c r="F107" s="46" t="s">
        <v>90</v>
      </c>
      <c r="G107" s="46" t="s">
        <v>145</v>
      </c>
      <c r="H107" s="48" t="n">
        <v>9</v>
      </c>
      <c r="I107" s="49"/>
      <c r="J107" s="50" t="n">
        <f aca="false">IF(OR($D107="",$E107="",Lists!$AB107&lt;=Lists!$AA107),"",(Lists!$AB107-Lists!$AA107)/60)</f>
        <v>0.5</v>
      </c>
      <c r="K107" s="51" t="str">
        <f aca="false">IF(COUNTA($B107:$E107)&lt;4,"",IF(Lists!$AB107&lt;=Lists!$AA107,"Check times",IF(COUNTIF(BookingDates,$B107)=0,"Outside range",IF(COUNTIF(RoomList,$C107)=0,"Unknown room",IF(SUMPRODUCT((BkRoom=$C107)*(BkDate=$B107)*(BkStartMin&lt;Lists!$AB107)*(BkEndMin&gt;Lists!$AA107))&gt;1,"Conflict","OK")))))</f>
        <v>OK</v>
      </c>
      <c r="L107" s="52" t="str">
        <f aca="false">IF(OR($C107="",$H107="",Lists!$Z107=""),"",IF($H107&gt;Lists!$Z107,"Over capacity",IF(AND($H107*2&lt;=Lists!$Z107,Lists!$Z107-$H107&gt;=4),"Oversized room","Good fit")))</f>
        <v>Good fit</v>
      </c>
    </row>
    <row r="108" customFormat="false" ht="16.5" hidden="false" customHeight="true" outlineLevel="0" collapsed="false">
      <c r="A108" s="44" t="n">
        <v>100</v>
      </c>
      <c r="B108" s="45" t="n">
        <f aca="false">Lists!$J$2</f>
        <v>46247</v>
      </c>
      <c r="C108" s="46" t="s">
        <v>72</v>
      </c>
      <c r="D108" s="47" t="n">
        <v>0.416666666666667</v>
      </c>
      <c r="E108" s="47" t="n">
        <v>0.479166666666667</v>
      </c>
      <c r="F108" s="46" t="s">
        <v>88</v>
      </c>
      <c r="G108" s="46" t="s">
        <v>136</v>
      </c>
      <c r="H108" s="48" t="n">
        <v>6</v>
      </c>
      <c r="I108" s="49"/>
      <c r="J108" s="50" t="n">
        <f aca="false">IF(OR($D108="",$E108="",Lists!$AB108&lt;=Lists!$AA108),"",(Lists!$AB108-Lists!$AA108)/60)</f>
        <v>1.5</v>
      </c>
      <c r="K108" s="51" t="str">
        <f aca="false">IF(COUNTA($B108:$E108)&lt;4,"",IF(Lists!$AB108&lt;=Lists!$AA108,"Check times",IF(COUNTIF(BookingDates,$B108)=0,"Outside range",IF(COUNTIF(RoomList,$C108)=0,"Unknown room",IF(SUMPRODUCT((BkRoom=$C108)*(BkDate=$B108)*(BkStartMin&lt;Lists!$AB108)*(BkEndMin&gt;Lists!$AA108))&gt;1,"Conflict","OK")))))</f>
        <v>OK</v>
      </c>
      <c r="L108" s="52" t="str">
        <f aca="false">IF(OR($C108="",$H108="",Lists!$Z108=""),"",IF($H108&gt;Lists!$Z108,"Over capacity",IF(AND($H108*2&lt;=Lists!$Z108,Lists!$Z108-$H108&gt;=4),"Oversized room","Good fit")))</f>
        <v>Good fit</v>
      </c>
    </row>
    <row r="109" customFormat="false" ht="16.5" hidden="false" customHeight="true" outlineLevel="0" collapsed="false">
      <c r="A109" s="44" t="n">
        <v>101</v>
      </c>
      <c r="B109" s="45" t="n">
        <f aca="false">Lists!$J$2</f>
        <v>46247</v>
      </c>
      <c r="C109" s="46" t="s">
        <v>83</v>
      </c>
      <c r="D109" s="47" t="n">
        <v>0.416666666666667</v>
      </c>
      <c r="E109" s="47" t="n">
        <v>0.458333333333333</v>
      </c>
      <c r="F109" s="46" t="s">
        <v>104</v>
      </c>
      <c r="G109" s="46" t="s">
        <v>138</v>
      </c>
      <c r="H109" s="48" t="n">
        <v>7</v>
      </c>
      <c r="I109" s="49"/>
      <c r="J109" s="50" t="n">
        <f aca="false">IF(OR($D109="",$E109="",Lists!$AB109&lt;=Lists!$AA109),"",(Lists!$AB109-Lists!$AA109)/60)</f>
        <v>1</v>
      </c>
      <c r="K109" s="51" t="str">
        <f aca="false">IF(COUNTA($B109:$E109)&lt;4,"",IF(Lists!$AB109&lt;=Lists!$AA109,"Check times",IF(COUNTIF(BookingDates,$B109)=0,"Outside range",IF(COUNTIF(RoomList,$C109)=0,"Unknown room",IF(SUMPRODUCT((BkRoom=$C109)*(BkDate=$B109)*(BkStartMin&lt;Lists!$AB109)*(BkEndMin&gt;Lists!$AA109))&gt;1,"Conflict","OK")))))</f>
        <v>OK</v>
      </c>
      <c r="L109" s="52" t="str">
        <f aca="false">IF(OR($C109="",$H109="",Lists!$Z109=""),"",IF($H109&gt;Lists!$Z109,"Over capacity",IF(AND($H109*2&lt;=Lists!$Z109,Lists!$Z109-$H109&gt;=4),"Oversized room","Good fit")))</f>
        <v>Oversized room</v>
      </c>
    </row>
    <row r="110" customFormat="false" ht="16.5" hidden="false" customHeight="true" outlineLevel="0" collapsed="false">
      <c r="A110" s="44" t="n">
        <v>102</v>
      </c>
      <c r="B110" s="45" t="n">
        <f aca="false">Lists!$J$2</f>
        <v>46247</v>
      </c>
      <c r="C110" s="46" t="s">
        <v>67</v>
      </c>
      <c r="D110" s="47" t="n">
        <v>0.4375</v>
      </c>
      <c r="E110" s="47" t="n">
        <v>0.479166666666667</v>
      </c>
      <c r="F110" s="46" t="s">
        <v>98</v>
      </c>
      <c r="G110" s="46" t="s">
        <v>147</v>
      </c>
      <c r="H110" s="48" t="n">
        <v>9</v>
      </c>
      <c r="I110" s="49"/>
      <c r="J110" s="50" t="n">
        <f aca="false">IF(OR($D110="",$E110="",Lists!$AB110&lt;=Lists!$AA110),"",(Lists!$AB110-Lists!$AA110)/60)</f>
        <v>1</v>
      </c>
      <c r="K110" s="51" t="str">
        <f aca="false">IF(COUNTA($B110:$E110)&lt;4,"",IF(Lists!$AB110&lt;=Lists!$AA110,"Check times",IF(COUNTIF(BookingDates,$B110)=0,"Outside range",IF(COUNTIF(RoomList,$C110)=0,"Unknown room",IF(SUMPRODUCT((BkRoom=$C110)*(BkDate=$B110)*(BkStartMin&lt;Lists!$AB110)*(BkEndMin&gt;Lists!$AA110))&gt;1,"Conflict","OK")))))</f>
        <v>OK</v>
      </c>
      <c r="L110" s="52" t="str">
        <f aca="false">IF(OR($C110="",$H110="",Lists!$Z110=""),"",IF($H110&gt;Lists!$Z110,"Over capacity",IF(AND($H110*2&lt;=Lists!$Z110,Lists!$Z110-$H110&gt;=4),"Oversized room","Good fit")))</f>
        <v>Good fit</v>
      </c>
    </row>
    <row r="111" customFormat="false" ht="16.5" hidden="false" customHeight="true" outlineLevel="0" collapsed="false">
      <c r="A111" s="44" t="n">
        <v>103</v>
      </c>
      <c r="B111" s="45" t="n">
        <f aca="false">Lists!$J$2</f>
        <v>46247</v>
      </c>
      <c r="C111" s="46" t="s">
        <v>86</v>
      </c>
      <c r="D111" s="47" t="n">
        <v>0.4375</v>
      </c>
      <c r="E111" s="47" t="n">
        <v>0.458333333333333</v>
      </c>
      <c r="F111" s="46" t="s">
        <v>88</v>
      </c>
      <c r="G111" s="46" t="s">
        <v>142</v>
      </c>
      <c r="H111" s="48" t="n">
        <v>2</v>
      </c>
      <c r="I111" s="49"/>
      <c r="J111" s="50" t="n">
        <f aca="false">IF(OR($D111="",$E111="",Lists!$AB111&lt;=Lists!$AA111),"",(Lists!$AB111-Lists!$AA111)/60)</f>
        <v>0.5</v>
      </c>
      <c r="K111" s="51" t="str">
        <f aca="false">IF(COUNTA($B111:$E111)&lt;4,"",IF(Lists!$AB111&lt;=Lists!$AA111,"Check times",IF(COUNTIF(BookingDates,$B111)=0,"Outside range",IF(COUNTIF(RoomList,$C111)=0,"Unknown room",IF(SUMPRODUCT((BkRoom=$C111)*(BkDate=$B111)*(BkStartMin&lt;Lists!$AB111)*(BkEndMin&gt;Lists!$AA111))&gt;1,"Conflict","OK")))))</f>
        <v>OK</v>
      </c>
      <c r="L111" s="52" t="str">
        <f aca="false">IF(OR($C111="",$H111="",Lists!$Z111=""),"",IF($H111&gt;Lists!$Z111,"Over capacity",IF(AND($H111*2&lt;=Lists!$Z111,Lists!$Z111-$H111&gt;=4),"Oversized room","Good fit")))</f>
        <v>Good fit</v>
      </c>
    </row>
    <row r="112" customFormat="false" ht="16.5" hidden="false" customHeight="true" outlineLevel="0" collapsed="false">
      <c r="A112" s="44" t="n">
        <v>104</v>
      </c>
      <c r="B112" s="45" t="n">
        <f aca="false">Lists!$J$2</f>
        <v>46247</v>
      </c>
      <c r="C112" s="46" t="s">
        <v>86</v>
      </c>
      <c r="D112" s="47" t="n">
        <v>0.458333333333333</v>
      </c>
      <c r="E112" s="47" t="n">
        <v>0.5</v>
      </c>
      <c r="F112" s="46" t="s">
        <v>97</v>
      </c>
      <c r="G112" s="46" t="s">
        <v>135</v>
      </c>
      <c r="H112" s="48" t="n">
        <v>2</v>
      </c>
      <c r="I112" s="49"/>
      <c r="J112" s="50" t="n">
        <f aca="false">IF(OR($D112="",$E112="",Lists!$AB112&lt;=Lists!$AA112),"",(Lists!$AB112-Lists!$AA112)/60)</f>
        <v>1</v>
      </c>
      <c r="K112" s="51" t="str">
        <f aca="false">IF(COUNTA($B112:$E112)&lt;4,"",IF(Lists!$AB112&lt;=Lists!$AA112,"Check times",IF(COUNTIF(BookingDates,$B112)=0,"Outside range",IF(COUNTIF(RoomList,$C112)=0,"Unknown room",IF(SUMPRODUCT((BkRoom=$C112)*(BkDate=$B112)*(BkStartMin&lt;Lists!$AB112)*(BkEndMin&gt;Lists!$AA112))&gt;1,"Conflict","OK")))))</f>
        <v>OK</v>
      </c>
      <c r="L112" s="52" t="str">
        <f aca="false">IF(OR($C112="",$H112="",Lists!$Z112=""),"",IF($H112&gt;Lists!$Z112,"Over capacity",IF(AND($H112*2&lt;=Lists!$Z112,Lists!$Z112-$H112&gt;=4),"Oversized room","Good fit")))</f>
        <v>Good fit</v>
      </c>
    </row>
    <row r="113" customFormat="false" ht="16.5" hidden="false" customHeight="true" outlineLevel="0" collapsed="false">
      <c r="A113" s="44" t="n">
        <v>105</v>
      </c>
      <c r="B113" s="45" t="n">
        <f aca="false">Lists!$J$2</f>
        <v>46247</v>
      </c>
      <c r="C113" s="46" t="s">
        <v>72</v>
      </c>
      <c r="D113" s="47" t="n">
        <v>0.5</v>
      </c>
      <c r="E113" s="47" t="n">
        <v>0.541666666666667</v>
      </c>
      <c r="F113" s="46" t="s">
        <v>74</v>
      </c>
      <c r="G113" s="46" t="s">
        <v>141</v>
      </c>
      <c r="H113" s="48" t="n">
        <v>4</v>
      </c>
      <c r="I113" s="49"/>
      <c r="J113" s="50" t="n">
        <f aca="false">IF(OR($D113="",$E113="",Lists!$AB113&lt;=Lists!$AA113),"",(Lists!$AB113-Lists!$AA113)/60)</f>
        <v>1</v>
      </c>
      <c r="K113" s="51" t="str">
        <f aca="false">IF(COUNTA($B113:$E113)&lt;4,"",IF(Lists!$AB113&lt;=Lists!$AA113,"Check times",IF(COUNTIF(BookingDates,$B113)=0,"Outside range",IF(COUNTIF(RoomList,$C113)=0,"Unknown room",IF(SUMPRODUCT((BkRoom=$C113)*(BkDate=$B113)*(BkStartMin&lt;Lists!$AB113)*(BkEndMin&gt;Lists!$AA113))&gt;1,"Conflict","OK")))))</f>
        <v>OK</v>
      </c>
      <c r="L113" s="52" t="str">
        <f aca="false">IF(OR($C113="",$H113="",Lists!$Z113=""),"",IF($H113&gt;Lists!$Z113,"Over capacity",IF(AND($H113*2&lt;=Lists!$Z113,Lists!$Z113-$H113&gt;=4),"Oversized room","Good fit")))</f>
        <v>Oversized room</v>
      </c>
    </row>
    <row r="114" customFormat="false" ht="16.5" hidden="false" customHeight="true" outlineLevel="0" collapsed="false">
      <c r="A114" s="44" t="n">
        <v>106</v>
      </c>
      <c r="B114" s="45" t="n">
        <f aca="false">Lists!$J$2</f>
        <v>46247</v>
      </c>
      <c r="C114" s="46" t="s">
        <v>67</v>
      </c>
      <c r="D114" s="47" t="n">
        <v>0.583333333333333</v>
      </c>
      <c r="E114" s="47" t="n">
        <v>0.625</v>
      </c>
      <c r="F114" s="46" t="s">
        <v>85</v>
      </c>
      <c r="G114" s="46" t="s">
        <v>137</v>
      </c>
      <c r="H114" s="48" t="n">
        <v>3</v>
      </c>
      <c r="I114" s="49"/>
      <c r="J114" s="50" t="n">
        <f aca="false">IF(OR($D114="",$E114="",Lists!$AB114&lt;=Lists!$AA114),"",(Lists!$AB114-Lists!$AA114)/60)</f>
        <v>1</v>
      </c>
      <c r="K114" s="51" t="str">
        <f aca="false">IF(COUNTA($B114:$E114)&lt;4,"",IF(Lists!$AB114&lt;=Lists!$AA114,"Check times",IF(COUNTIF(BookingDates,$B114)=0,"Outside range",IF(COUNTIF(RoomList,$C114)=0,"Unknown room",IF(SUMPRODUCT((BkRoom=$C114)*(BkDate=$B114)*(BkStartMin&lt;Lists!$AB114)*(BkEndMin&gt;Lists!$AA114))&gt;1,"Conflict","OK")))))</f>
        <v>OK</v>
      </c>
      <c r="L114" s="52" t="str">
        <f aca="false">IF(OR($C114="",$H114="",Lists!$Z114=""),"",IF($H114&gt;Lists!$Z114,"Over capacity",IF(AND($H114*2&lt;=Lists!$Z114,Lists!$Z114-$H114&gt;=4),"Oversized room","Good fit")))</f>
        <v>Oversized room</v>
      </c>
    </row>
    <row r="115" customFormat="false" ht="16.5" hidden="false" customHeight="true" outlineLevel="0" collapsed="false">
      <c r="A115" s="44" t="n">
        <v>107</v>
      </c>
      <c r="B115" s="45" t="n">
        <f aca="false">Lists!$J$2</f>
        <v>46247</v>
      </c>
      <c r="C115" s="46" t="s">
        <v>86</v>
      </c>
      <c r="D115" s="47" t="n">
        <v>0.583333333333333</v>
      </c>
      <c r="E115" s="47" t="n">
        <v>0.625</v>
      </c>
      <c r="F115" s="46" t="s">
        <v>85</v>
      </c>
      <c r="G115" s="46" t="s">
        <v>139</v>
      </c>
      <c r="H115" s="48" t="n">
        <v>2</v>
      </c>
      <c r="I115" s="49"/>
      <c r="J115" s="50" t="n">
        <f aca="false">IF(OR($D115="",$E115="",Lists!$AB115&lt;=Lists!$AA115),"",(Lists!$AB115-Lists!$AA115)/60)</f>
        <v>1</v>
      </c>
      <c r="K115" s="51" t="str">
        <f aca="false">IF(COUNTA($B115:$E115)&lt;4,"",IF(Lists!$AB115&lt;=Lists!$AA115,"Check times",IF(COUNTIF(BookingDates,$B115)=0,"Outside range",IF(COUNTIF(RoomList,$C115)=0,"Unknown room",IF(SUMPRODUCT((BkRoom=$C115)*(BkDate=$B115)*(BkStartMin&lt;Lists!$AB115)*(BkEndMin&gt;Lists!$AA115))&gt;1,"Conflict","OK")))))</f>
        <v>OK</v>
      </c>
      <c r="L115" s="52" t="str">
        <f aca="false">IF(OR($C115="",$H115="",Lists!$Z115=""),"",IF($H115&gt;Lists!$Z115,"Over capacity",IF(AND($H115*2&lt;=Lists!$Z115,Lists!$Z115-$H115&gt;=4),"Oversized room","Good fit")))</f>
        <v>Good fit</v>
      </c>
    </row>
    <row r="116" customFormat="false" ht="16.5" hidden="false" customHeight="true" outlineLevel="0" collapsed="false">
      <c r="A116" s="44" t="n">
        <v>108</v>
      </c>
      <c r="B116" s="45" t="n">
        <f aca="false">Lists!$J$2</f>
        <v>46247</v>
      </c>
      <c r="C116" s="46" t="s">
        <v>83</v>
      </c>
      <c r="D116" s="47" t="n">
        <v>0.625</v>
      </c>
      <c r="E116" s="47" t="n">
        <v>0.645833333333333</v>
      </c>
      <c r="F116" s="46" t="s">
        <v>70</v>
      </c>
      <c r="G116" s="46" t="s">
        <v>147</v>
      </c>
      <c r="H116" s="48" t="n">
        <v>4</v>
      </c>
      <c r="I116" s="49"/>
      <c r="J116" s="50" t="n">
        <f aca="false">IF(OR($D116="",$E116="",Lists!$AB116&lt;=Lists!$AA116),"",(Lists!$AB116-Lists!$AA116)/60)</f>
        <v>0.5</v>
      </c>
      <c r="K116" s="51" t="str">
        <f aca="false">IF(COUNTA($B116:$E116)&lt;4,"",IF(Lists!$AB116&lt;=Lists!$AA116,"Check times",IF(COUNTIF(BookingDates,$B116)=0,"Outside range",IF(COUNTIF(RoomList,$C116)=0,"Unknown room",IF(SUMPRODUCT((BkRoom=$C116)*(BkDate=$B116)*(BkStartMin&lt;Lists!$AB116)*(BkEndMin&gt;Lists!$AA116))&gt;1,"Conflict","OK")))))</f>
        <v>OK</v>
      </c>
      <c r="L116" s="52" t="str">
        <f aca="false">IF(OR($C116="",$H116="",Lists!$Z116=""),"",IF($H116&gt;Lists!$Z116,"Over capacity",IF(AND($H116*2&lt;=Lists!$Z116,Lists!$Z116-$H116&gt;=4),"Oversized room","Good fit")))</f>
        <v>Oversized room</v>
      </c>
    </row>
    <row r="117" customFormat="false" ht="16.5" hidden="false" customHeight="true" outlineLevel="0" collapsed="false">
      <c r="A117" s="44" t="n">
        <v>109</v>
      </c>
      <c r="B117" s="45" t="n">
        <f aca="false">Lists!$K$2</f>
        <v>46248</v>
      </c>
      <c r="C117" s="46" t="s">
        <v>72</v>
      </c>
      <c r="D117" s="47" t="n">
        <v>0.375</v>
      </c>
      <c r="E117" s="47" t="n">
        <v>0.416666666666667</v>
      </c>
      <c r="F117" s="46" t="s">
        <v>108</v>
      </c>
      <c r="G117" s="46" t="s">
        <v>145</v>
      </c>
      <c r="H117" s="48" t="n">
        <v>8</v>
      </c>
      <c r="I117" s="49"/>
      <c r="J117" s="50" t="n">
        <f aca="false">IF(OR($D117="",$E117="",Lists!$AB117&lt;=Lists!$AA117),"",(Lists!$AB117-Lists!$AA117)/60)</f>
        <v>1</v>
      </c>
      <c r="K117" s="51" t="str">
        <f aca="false">IF(COUNTA($B117:$E117)&lt;4,"",IF(Lists!$AB117&lt;=Lists!$AA117,"Check times",IF(COUNTIF(BookingDates,$B117)=0,"Outside range",IF(COUNTIF(RoomList,$C117)=0,"Unknown room",IF(SUMPRODUCT((BkRoom=$C117)*(BkDate=$B117)*(BkStartMin&lt;Lists!$AB117)*(BkEndMin&gt;Lists!$AA117))&gt;1,"Conflict","OK")))))</f>
        <v>OK</v>
      </c>
      <c r="L117" s="52" t="str">
        <f aca="false">IF(OR($C117="",$H117="",Lists!$Z117=""),"",IF($H117&gt;Lists!$Z117,"Over capacity",IF(AND($H117*2&lt;=Lists!$Z117,Lists!$Z117-$H117&gt;=4),"Oversized room","Good fit")))</f>
        <v>Good fit</v>
      </c>
    </row>
    <row r="118" customFormat="false" ht="16.5" hidden="false" customHeight="true" outlineLevel="0" collapsed="false">
      <c r="A118" s="44" t="n">
        <v>110</v>
      </c>
      <c r="B118" s="45" t="n">
        <f aca="false">Lists!$K$2</f>
        <v>46248</v>
      </c>
      <c r="C118" s="46" t="s">
        <v>75</v>
      </c>
      <c r="D118" s="47" t="n">
        <v>0.416666666666667</v>
      </c>
      <c r="E118" s="47" t="n">
        <v>0.458333333333333</v>
      </c>
      <c r="F118" s="46" t="s">
        <v>90</v>
      </c>
      <c r="G118" s="46" t="s">
        <v>135</v>
      </c>
      <c r="H118" s="48" t="n">
        <v>2</v>
      </c>
      <c r="I118" s="49"/>
      <c r="J118" s="50" t="n">
        <f aca="false">IF(OR($D118="",$E118="",Lists!$AB118&lt;=Lists!$AA118),"",(Lists!$AB118-Lists!$AA118)/60)</f>
        <v>1</v>
      </c>
      <c r="K118" s="51" t="str">
        <f aca="false">IF(COUNTA($B118:$E118)&lt;4,"",IF(Lists!$AB118&lt;=Lists!$AA118,"Check times",IF(COUNTIF(BookingDates,$B118)=0,"Outside range",IF(COUNTIF(RoomList,$C118)=0,"Unknown room",IF(SUMPRODUCT((BkRoom=$C118)*(BkDate=$B118)*(BkStartMin&lt;Lists!$AB118)*(BkEndMin&gt;Lists!$AA118))&gt;1,"Conflict","OK")))))</f>
        <v>OK</v>
      </c>
      <c r="L118" s="52" t="str">
        <f aca="false">IF(OR($C118="",$H118="",Lists!$Z118=""),"",IF($H118&gt;Lists!$Z118,"Over capacity",IF(AND($H118*2&lt;=Lists!$Z118,Lists!$Z118-$H118&gt;=4),"Oversized room","Good fit")))</f>
        <v>Oversized room</v>
      </c>
    </row>
    <row r="119" customFormat="false" ht="16.5" hidden="false" customHeight="true" outlineLevel="0" collapsed="false">
      <c r="A119" s="44" t="n">
        <v>111</v>
      </c>
      <c r="B119" s="45" t="n">
        <f aca="false">Lists!$K$2</f>
        <v>46248</v>
      </c>
      <c r="C119" s="46" t="s">
        <v>67</v>
      </c>
      <c r="D119" s="47" t="n">
        <v>0.4375</v>
      </c>
      <c r="E119" s="47" t="n">
        <v>0.479166666666667</v>
      </c>
      <c r="F119" s="46" t="s">
        <v>91</v>
      </c>
      <c r="G119" s="46" t="s">
        <v>142</v>
      </c>
      <c r="H119" s="48" t="n">
        <v>4</v>
      </c>
      <c r="I119" s="49"/>
      <c r="J119" s="50" t="n">
        <f aca="false">IF(OR($D119="",$E119="",Lists!$AB119&lt;=Lists!$AA119),"",(Lists!$AB119-Lists!$AA119)/60)</f>
        <v>1</v>
      </c>
      <c r="K119" s="51" t="str">
        <f aca="false">IF(COUNTA($B119:$E119)&lt;4,"",IF(Lists!$AB119&lt;=Lists!$AA119,"Check times",IF(COUNTIF(BookingDates,$B119)=0,"Outside range",IF(COUNTIF(RoomList,$C119)=0,"Unknown room",IF(SUMPRODUCT((BkRoom=$C119)*(BkDate=$B119)*(BkStartMin&lt;Lists!$AB119)*(BkEndMin&gt;Lists!$AA119))&gt;1,"Conflict","OK")))))</f>
        <v>OK</v>
      </c>
      <c r="L119" s="52" t="str">
        <f aca="false">IF(OR($C119="",$H119="",Lists!$Z119=""),"",IF($H119&gt;Lists!$Z119,"Over capacity",IF(AND($H119*2&lt;=Lists!$Z119,Lists!$Z119-$H119&gt;=4),"Oversized room","Good fit")))</f>
        <v>Oversized room</v>
      </c>
    </row>
    <row r="120" customFormat="false" ht="16.5" hidden="false" customHeight="true" outlineLevel="0" collapsed="false">
      <c r="A120" s="44" t="n">
        <v>112</v>
      </c>
      <c r="B120" s="45" t="n">
        <f aca="false">Lists!$K$2</f>
        <v>46248</v>
      </c>
      <c r="C120" s="46" t="s">
        <v>86</v>
      </c>
      <c r="D120" s="47" t="n">
        <v>0.4375</v>
      </c>
      <c r="E120" s="47" t="n">
        <v>0.458333333333333</v>
      </c>
      <c r="F120" s="46" t="s">
        <v>93</v>
      </c>
      <c r="G120" s="46" t="s">
        <v>139</v>
      </c>
      <c r="H120" s="48" t="n">
        <v>2</v>
      </c>
      <c r="I120" s="49"/>
      <c r="J120" s="50" t="n">
        <f aca="false">IF(OR($D120="",$E120="",Lists!$AB120&lt;=Lists!$AA120),"",(Lists!$AB120-Lists!$AA120)/60)</f>
        <v>0.5</v>
      </c>
      <c r="K120" s="51" t="str">
        <f aca="false">IF(COUNTA($B120:$E120)&lt;4,"",IF(Lists!$AB120&lt;=Lists!$AA120,"Check times",IF(COUNTIF(BookingDates,$B120)=0,"Outside range",IF(COUNTIF(RoomList,$C120)=0,"Unknown room",IF(SUMPRODUCT((BkRoom=$C120)*(BkDate=$B120)*(BkStartMin&lt;Lists!$AB120)*(BkEndMin&gt;Lists!$AA120))&gt;1,"Conflict","OK")))))</f>
        <v>OK</v>
      </c>
      <c r="L120" s="52" t="str">
        <f aca="false">IF(OR($C120="",$H120="",Lists!$Z120=""),"",IF($H120&gt;Lists!$Z120,"Over capacity",IF(AND($H120*2&lt;=Lists!$Z120,Lists!$Z120-$H120&gt;=4),"Oversized room","Good fit")))</f>
        <v>Good fit</v>
      </c>
    </row>
    <row r="121" customFormat="false" ht="16.5" hidden="false" customHeight="true" outlineLevel="0" collapsed="false">
      <c r="A121" s="44" t="n">
        <v>113</v>
      </c>
      <c r="B121" s="45" t="n">
        <f aca="false">Lists!$K$2</f>
        <v>46248</v>
      </c>
      <c r="C121" s="46" t="s">
        <v>72</v>
      </c>
      <c r="D121" s="47" t="n">
        <v>0.458333333333333</v>
      </c>
      <c r="E121" s="47" t="n">
        <v>0.5</v>
      </c>
      <c r="F121" s="46" t="s">
        <v>85</v>
      </c>
      <c r="G121" s="46" t="s">
        <v>138</v>
      </c>
      <c r="H121" s="48" t="n">
        <v>5</v>
      </c>
      <c r="I121" s="49"/>
      <c r="J121" s="50" t="n">
        <f aca="false">IF(OR($D121="",$E121="",Lists!$AB121&lt;=Lists!$AA121),"",(Lists!$AB121-Lists!$AA121)/60)</f>
        <v>1</v>
      </c>
      <c r="K121" s="51" t="str">
        <f aca="false">IF(COUNTA($B121:$E121)&lt;4,"",IF(Lists!$AB121&lt;=Lists!$AA121,"Check times",IF(COUNTIF(BookingDates,$B121)=0,"Outside range",IF(COUNTIF(RoomList,$C121)=0,"Unknown room",IF(SUMPRODUCT((BkRoom=$C121)*(BkDate=$B121)*(BkStartMin&lt;Lists!$AB121)*(BkEndMin&gt;Lists!$AA121))&gt;1,"Conflict","OK")))))</f>
        <v>OK</v>
      </c>
      <c r="L121" s="52" t="str">
        <f aca="false">IF(OR($C121="",$H121="",Lists!$Z121=""),"",IF($H121&gt;Lists!$Z121,"Over capacity",IF(AND($H121*2&lt;=Lists!$Z121,Lists!$Z121-$H121&gt;=4),"Oversized room","Good fit")))</f>
        <v>Good fit</v>
      </c>
    </row>
    <row r="122" customFormat="false" ht="16.5" hidden="false" customHeight="true" outlineLevel="0" collapsed="false">
      <c r="A122" s="44" t="n">
        <v>114</v>
      </c>
      <c r="B122" s="45" t="n">
        <f aca="false">Lists!$K$2</f>
        <v>46248</v>
      </c>
      <c r="C122" s="46" t="s">
        <v>75</v>
      </c>
      <c r="D122" s="47" t="n">
        <v>0.458333333333333</v>
      </c>
      <c r="E122" s="47" t="n">
        <v>0.479166666666667</v>
      </c>
      <c r="F122" s="46" t="s">
        <v>88</v>
      </c>
      <c r="G122" s="46" t="s">
        <v>136</v>
      </c>
      <c r="H122" s="48" t="n">
        <v>6</v>
      </c>
      <c r="I122" s="49"/>
      <c r="J122" s="50" t="n">
        <f aca="false">IF(OR($D122="",$E122="",Lists!$AB122&lt;=Lists!$AA122),"",(Lists!$AB122-Lists!$AA122)/60)</f>
        <v>0.5</v>
      </c>
      <c r="K122" s="51" t="str">
        <f aca="false">IF(COUNTA($B122:$E122)&lt;4,"",IF(Lists!$AB122&lt;=Lists!$AA122,"Check times",IF(COUNTIF(BookingDates,$B122)=0,"Outside range",IF(COUNTIF(RoomList,$C122)=0,"Unknown room",IF(SUMPRODUCT((BkRoom=$C122)*(BkDate=$B122)*(BkStartMin&lt;Lists!$AB122)*(BkEndMin&gt;Lists!$AA122))&gt;1,"Conflict","OK")))))</f>
        <v>OK</v>
      </c>
      <c r="L122" s="52" t="str">
        <f aca="false">IF(OR($C122="",$H122="",Lists!$Z122=""),"",IF($H122&gt;Lists!$Z122,"Over capacity",IF(AND($H122*2&lt;=Lists!$Z122,Lists!$Z122-$H122&gt;=4),"Oversized room","Good fit")))</f>
        <v>Good fit</v>
      </c>
    </row>
    <row r="123" customFormat="false" ht="16.5" hidden="false" customHeight="true" outlineLevel="0" collapsed="false">
      <c r="A123" s="44" t="n">
        <v>115</v>
      </c>
      <c r="B123" s="45" t="n">
        <f aca="false">Lists!$K$2</f>
        <v>46248</v>
      </c>
      <c r="C123" s="46" t="s">
        <v>67</v>
      </c>
      <c r="D123" s="47" t="n">
        <v>0.541666666666667</v>
      </c>
      <c r="E123" s="47" t="n">
        <v>0.5625</v>
      </c>
      <c r="F123" s="46" t="s">
        <v>102</v>
      </c>
      <c r="G123" s="46" t="s">
        <v>149</v>
      </c>
      <c r="H123" s="48" t="n">
        <v>4</v>
      </c>
      <c r="I123" s="49"/>
      <c r="J123" s="50" t="n">
        <f aca="false">IF(OR($D123="",$E123="",Lists!$AB123&lt;=Lists!$AA123),"",(Lists!$AB123-Lists!$AA123)/60)</f>
        <v>0.5</v>
      </c>
      <c r="K123" s="51" t="str">
        <f aca="false">IF(COUNTA($B123:$E123)&lt;4,"",IF(Lists!$AB123&lt;=Lists!$AA123,"Check times",IF(COUNTIF(BookingDates,$B123)=0,"Outside range",IF(COUNTIF(RoomList,$C123)=0,"Unknown room",IF(SUMPRODUCT((BkRoom=$C123)*(BkDate=$B123)*(BkStartMin&lt;Lists!$AB123)*(BkEndMin&gt;Lists!$AA123))&gt;1,"Conflict","OK")))))</f>
        <v>OK</v>
      </c>
      <c r="L123" s="52" t="str">
        <f aca="false">IF(OR($C123="",$H123="",Lists!$Z123=""),"",IF($H123&gt;Lists!$Z123,"Over capacity",IF(AND($H123*2&lt;=Lists!$Z123,Lists!$Z123-$H123&gt;=4),"Oversized room","Good fit")))</f>
        <v>Oversized room</v>
      </c>
    </row>
    <row r="124" customFormat="false" ht="16.5" hidden="false" customHeight="true" outlineLevel="0" collapsed="false">
      <c r="A124" s="44" t="n">
        <v>116</v>
      </c>
      <c r="B124" s="45" t="n">
        <f aca="false">Lists!$K$2</f>
        <v>46248</v>
      </c>
      <c r="C124" s="46" t="s">
        <v>72</v>
      </c>
      <c r="D124" s="47" t="n">
        <v>0.5625</v>
      </c>
      <c r="E124" s="47" t="n">
        <v>0.604166666666667</v>
      </c>
      <c r="F124" s="46" t="s">
        <v>96</v>
      </c>
      <c r="G124" s="46" t="s">
        <v>145</v>
      </c>
      <c r="H124" s="48" t="n">
        <v>8</v>
      </c>
      <c r="I124" s="49"/>
      <c r="J124" s="50" t="n">
        <f aca="false">IF(OR($D124="",$E124="",Lists!$AB124&lt;=Lists!$AA124),"",(Lists!$AB124-Lists!$AA124)/60)</f>
        <v>1</v>
      </c>
      <c r="K124" s="51" t="str">
        <f aca="false">IF(COUNTA($B124:$E124)&lt;4,"",IF(Lists!$AB124&lt;=Lists!$AA124,"Check times",IF(COUNTIF(BookingDates,$B124)=0,"Outside range",IF(COUNTIF(RoomList,$C124)=0,"Unknown room",IF(SUMPRODUCT((BkRoom=$C124)*(BkDate=$B124)*(BkStartMin&lt;Lists!$AB124)*(BkEndMin&gt;Lists!$AA124))&gt;1,"Conflict","OK")))))</f>
        <v>OK</v>
      </c>
      <c r="L124" s="52" t="str">
        <f aca="false">IF(OR($C124="",$H124="",Lists!$Z124=""),"",IF($H124&gt;Lists!$Z124,"Over capacity",IF(AND($H124*2&lt;=Lists!$Z124,Lists!$Z124-$H124&gt;=4),"Oversized room","Good fit")))</f>
        <v>Good fit</v>
      </c>
    </row>
    <row r="125" customFormat="false" ht="16.5" hidden="false" customHeight="true" outlineLevel="0" collapsed="false">
      <c r="A125" s="44" t="n">
        <v>117</v>
      </c>
      <c r="B125" s="45" t="n">
        <f aca="false">Lists!$K$2</f>
        <v>46248</v>
      </c>
      <c r="C125" s="46" t="s">
        <v>83</v>
      </c>
      <c r="D125" s="47" t="n">
        <v>0.583333333333333</v>
      </c>
      <c r="E125" s="47" t="n">
        <v>0.625</v>
      </c>
      <c r="F125" s="46" t="s">
        <v>90</v>
      </c>
      <c r="G125" s="46" t="s">
        <v>133</v>
      </c>
      <c r="H125" s="48" t="n">
        <v>3</v>
      </c>
      <c r="I125" s="49"/>
      <c r="J125" s="50" t="n">
        <f aca="false">IF(OR($D125="",$E125="",Lists!$AB125&lt;=Lists!$AA125),"",(Lists!$AB125-Lists!$AA125)/60)</f>
        <v>1</v>
      </c>
      <c r="K125" s="51" t="str">
        <f aca="false">IF(COUNTA($B125:$E125)&lt;4,"",IF(Lists!$AB125&lt;=Lists!$AA125,"Check times",IF(COUNTIF(BookingDates,$B125)=0,"Outside range",IF(COUNTIF(RoomList,$C125)=0,"Unknown room",IF(SUMPRODUCT((BkRoom=$C125)*(BkDate=$B125)*(BkStartMin&lt;Lists!$AB125)*(BkEndMin&gt;Lists!$AA125))&gt;1,"Conflict","OK")))))</f>
        <v>OK</v>
      </c>
      <c r="L125" s="52" t="str">
        <f aca="false">IF(OR($C125="",$H125="",Lists!$Z125=""),"",IF($H125&gt;Lists!$Z125,"Over capacity",IF(AND($H125*2&lt;=Lists!$Z125,Lists!$Z125-$H125&gt;=4),"Oversized room","Good fit")))</f>
        <v>Oversized room</v>
      </c>
    </row>
    <row r="126" customFormat="false" ht="16.5" hidden="false" customHeight="true" outlineLevel="0" collapsed="false">
      <c r="A126" s="44" t="n">
        <v>118</v>
      </c>
      <c r="B126" s="45" t="n">
        <f aca="false">Lists!$K$2</f>
        <v>46248</v>
      </c>
      <c r="C126" s="46" t="s">
        <v>67</v>
      </c>
      <c r="D126" s="47" t="n">
        <v>0.625</v>
      </c>
      <c r="E126" s="47" t="n">
        <v>0.666666666666667</v>
      </c>
      <c r="F126" s="46" t="s">
        <v>97</v>
      </c>
      <c r="G126" s="46" t="s">
        <v>135</v>
      </c>
      <c r="H126" s="48" t="n">
        <v>2</v>
      </c>
      <c r="I126" s="49"/>
      <c r="J126" s="50" t="n">
        <f aca="false">IF(OR($D126="",$E126="",Lists!$AB126&lt;=Lists!$AA126),"",(Lists!$AB126-Lists!$AA126)/60)</f>
        <v>1</v>
      </c>
      <c r="K126" s="51" t="str">
        <f aca="false">IF(COUNTA($B126:$E126)&lt;4,"",IF(Lists!$AB126&lt;=Lists!$AA126,"Check times",IF(COUNTIF(BookingDates,$B126)=0,"Outside range",IF(COUNTIF(RoomList,$C126)=0,"Unknown room",IF(SUMPRODUCT((BkRoom=$C126)*(BkDate=$B126)*(BkStartMin&lt;Lists!$AB126)*(BkEndMin&gt;Lists!$AA126))&gt;1,"Conflict","OK")))))</f>
        <v>OK</v>
      </c>
      <c r="L126" s="52" t="str">
        <f aca="false">IF(OR($C126="",$H126="",Lists!$Z126=""),"",IF($H126&gt;Lists!$Z126,"Over capacity",IF(AND($H126*2&lt;=Lists!$Z126,Lists!$Z126-$H126&gt;=4),"Oversized room","Good fit")))</f>
        <v>Oversized room</v>
      </c>
    </row>
    <row r="127" customFormat="false" ht="16.5" hidden="false" customHeight="true" outlineLevel="0" collapsed="false">
      <c r="A127" s="44" t="n">
        <v>119</v>
      </c>
      <c r="B127" s="45" t="n">
        <f aca="false">Lists!$K$2</f>
        <v>46248</v>
      </c>
      <c r="C127" s="46" t="s">
        <v>72</v>
      </c>
      <c r="D127" s="47" t="n">
        <v>0.625</v>
      </c>
      <c r="E127" s="47" t="n">
        <v>0.645833333333333</v>
      </c>
      <c r="F127" s="46" t="s">
        <v>91</v>
      </c>
      <c r="G127" s="46" t="s">
        <v>137</v>
      </c>
      <c r="H127" s="48" t="n">
        <v>2</v>
      </c>
      <c r="I127" s="49"/>
      <c r="J127" s="50" t="n">
        <f aca="false">IF(OR($D127="",$E127="",Lists!$AB127&lt;=Lists!$AA127),"",(Lists!$AB127-Lists!$AA127)/60)</f>
        <v>0.5</v>
      </c>
      <c r="K127" s="51" t="str">
        <f aca="false">IF(COUNTA($B127:$E127)&lt;4,"",IF(Lists!$AB127&lt;=Lists!$AA127,"Check times",IF(COUNTIF(BookingDates,$B127)=0,"Outside range",IF(COUNTIF(RoomList,$C127)=0,"Unknown room",IF(SUMPRODUCT((BkRoom=$C127)*(BkDate=$B127)*(BkStartMin&lt;Lists!$AB127)*(BkEndMin&gt;Lists!$AA127))&gt;1,"Conflict","OK")))))</f>
        <v>OK</v>
      </c>
      <c r="L127" s="52" t="str">
        <f aca="false">IF(OR($C127="",$H127="",Lists!$Z127=""),"",IF($H127&gt;Lists!$Z127,"Over capacity",IF(AND($H127*2&lt;=Lists!$Z127,Lists!$Z127-$H127&gt;=4),"Oversized room","Good fit")))</f>
        <v>Oversized room</v>
      </c>
    </row>
    <row r="128" customFormat="false" ht="16.5" hidden="false" customHeight="true" outlineLevel="0" collapsed="false">
      <c r="A128" s="44" t="n">
        <v>120</v>
      </c>
      <c r="B128" s="45" t="n">
        <f aca="false">Lists!$K$2</f>
        <v>46248</v>
      </c>
      <c r="C128" s="46" t="s">
        <v>79</v>
      </c>
      <c r="D128" s="47" t="n">
        <v>0.625</v>
      </c>
      <c r="E128" s="47" t="n">
        <v>0.666666666666667</v>
      </c>
      <c r="F128" s="46" t="s">
        <v>96</v>
      </c>
      <c r="G128" s="46" t="s">
        <v>138</v>
      </c>
      <c r="H128" s="48" t="n">
        <v>4</v>
      </c>
      <c r="I128" s="49"/>
      <c r="J128" s="50" t="n">
        <f aca="false">IF(OR($D128="",$E128="",Lists!$AB128&lt;=Lists!$AA128),"",(Lists!$AB128-Lists!$AA128)/60)</f>
        <v>1</v>
      </c>
      <c r="K128" s="51" t="str">
        <f aca="false">IF(COUNTA($B128:$E128)&lt;4,"",IF(Lists!$AB128&lt;=Lists!$AA128,"Check times",IF(COUNTIF(BookingDates,$B128)=0,"Outside range",IF(COUNTIF(RoomList,$C128)=0,"Unknown room",IF(SUMPRODUCT((BkRoom=$C128)*(BkDate=$B128)*(BkStartMin&lt;Lists!$AB128)*(BkEndMin&gt;Lists!$AA128))&gt;1,"Conflict","OK")))))</f>
        <v>OK</v>
      </c>
      <c r="L128" s="52" t="str">
        <f aca="false">IF(OR($C128="",$H128="",Lists!$Z128=""),"",IF($H128&gt;Lists!$Z128,"Over capacity",IF(AND($H128*2&lt;=Lists!$Z128,Lists!$Z128-$H128&gt;=4),"Oversized room","Good fit")))</f>
        <v>Good fit</v>
      </c>
    </row>
    <row r="129" customFormat="false" ht="16.5" hidden="false" customHeight="true" outlineLevel="0" collapsed="false">
      <c r="A129" s="44" t="n">
        <v>121</v>
      </c>
      <c r="B129" s="45"/>
      <c r="C129" s="46"/>
      <c r="D129" s="47"/>
      <c r="E129" s="47"/>
      <c r="F129" s="46"/>
      <c r="G129" s="46"/>
      <c r="H129" s="48"/>
      <c r="I129" s="49"/>
      <c r="J129" s="50" t="str">
        <f aca="false">IF(OR($D129="",$E129="",Lists!$AB129&lt;=Lists!$AA129),"",(Lists!$AB129-Lists!$AA129)/60)</f>
        <v/>
      </c>
      <c r="K129" s="51" t="str">
        <f aca="false">IF(COUNTA($B129:$E129)&lt;4,"",IF(Lists!$AB129&lt;=Lists!$AA129,"Check times",IF(COUNTIF(BookingDates,$B129)=0,"Outside range",IF(COUNTIF(RoomList,$C129)=0,"Unknown room",IF(SUMPRODUCT((BkRoom=$C129)*(BkDate=$B129)*(BkStartMin&lt;Lists!$AB129)*(BkEndMin&gt;Lists!$AA129))&gt;1,"Conflict","OK")))))</f>
        <v/>
      </c>
      <c r="L129" s="52" t="str">
        <f aca="false">IF(OR($C129="",$H129="",Lists!$Z129=""),"",IF($H129&gt;Lists!$Z129,"Over capacity",IF(AND($H129*2&lt;=Lists!$Z129,Lists!$Z129-$H129&gt;=4),"Oversized room","Good fit")))</f>
        <v/>
      </c>
    </row>
    <row r="130" customFormat="false" ht="16.5" hidden="false" customHeight="true" outlineLevel="0" collapsed="false">
      <c r="A130" s="44" t="n">
        <v>122</v>
      </c>
      <c r="B130" s="45"/>
      <c r="C130" s="46"/>
      <c r="D130" s="47"/>
      <c r="E130" s="47"/>
      <c r="F130" s="46"/>
      <c r="G130" s="46"/>
      <c r="H130" s="48"/>
      <c r="I130" s="49"/>
      <c r="J130" s="50" t="str">
        <f aca="false">IF(OR($D130="",$E130="",Lists!$AB130&lt;=Lists!$AA130),"",(Lists!$AB130-Lists!$AA130)/60)</f>
        <v/>
      </c>
      <c r="K130" s="51" t="str">
        <f aca="false">IF(COUNTA($B130:$E130)&lt;4,"",IF(Lists!$AB130&lt;=Lists!$AA130,"Check times",IF(COUNTIF(BookingDates,$B130)=0,"Outside range",IF(COUNTIF(RoomList,$C130)=0,"Unknown room",IF(SUMPRODUCT((BkRoom=$C130)*(BkDate=$B130)*(BkStartMin&lt;Lists!$AB130)*(BkEndMin&gt;Lists!$AA130))&gt;1,"Conflict","OK")))))</f>
        <v/>
      </c>
      <c r="L130" s="52" t="str">
        <f aca="false">IF(OR($C130="",$H130="",Lists!$Z130=""),"",IF($H130&gt;Lists!$Z130,"Over capacity",IF(AND($H130*2&lt;=Lists!$Z130,Lists!$Z130-$H130&gt;=4),"Oversized room","Good fit")))</f>
        <v/>
      </c>
    </row>
    <row r="131" customFormat="false" ht="16.5" hidden="false" customHeight="true" outlineLevel="0" collapsed="false">
      <c r="A131" s="44" t="n">
        <v>123</v>
      </c>
      <c r="B131" s="45"/>
      <c r="C131" s="46"/>
      <c r="D131" s="47"/>
      <c r="E131" s="47"/>
      <c r="F131" s="46"/>
      <c r="G131" s="46"/>
      <c r="H131" s="48"/>
      <c r="I131" s="49"/>
      <c r="J131" s="50" t="str">
        <f aca="false">IF(OR($D131="",$E131="",Lists!$AB131&lt;=Lists!$AA131),"",(Lists!$AB131-Lists!$AA131)/60)</f>
        <v/>
      </c>
      <c r="K131" s="51" t="str">
        <f aca="false">IF(COUNTA($B131:$E131)&lt;4,"",IF(Lists!$AB131&lt;=Lists!$AA131,"Check times",IF(COUNTIF(BookingDates,$B131)=0,"Outside range",IF(COUNTIF(RoomList,$C131)=0,"Unknown room",IF(SUMPRODUCT((BkRoom=$C131)*(BkDate=$B131)*(BkStartMin&lt;Lists!$AB131)*(BkEndMin&gt;Lists!$AA131))&gt;1,"Conflict","OK")))))</f>
        <v/>
      </c>
      <c r="L131" s="52" t="str">
        <f aca="false">IF(OR($C131="",$H131="",Lists!$Z131=""),"",IF($H131&gt;Lists!$Z131,"Over capacity",IF(AND($H131*2&lt;=Lists!$Z131,Lists!$Z131-$H131&gt;=4),"Oversized room","Good fit")))</f>
        <v/>
      </c>
    </row>
    <row r="132" customFormat="false" ht="16.5" hidden="false" customHeight="true" outlineLevel="0" collapsed="false">
      <c r="A132" s="44" t="n">
        <v>124</v>
      </c>
      <c r="B132" s="45"/>
      <c r="C132" s="46"/>
      <c r="D132" s="47"/>
      <c r="E132" s="47"/>
      <c r="F132" s="46"/>
      <c r="G132" s="46"/>
      <c r="H132" s="48"/>
      <c r="I132" s="49"/>
      <c r="J132" s="50" t="str">
        <f aca="false">IF(OR($D132="",$E132="",Lists!$AB132&lt;=Lists!$AA132),"",(Lists!$AB132-Lists!$AA132)/60)</f>
        <v/>
      </c>
      <c r="K132" s="51" t="str">
        <f aca="false">IF(COUNTA($B132:$E132)&lt;4,"",IF(Lists!$AB132&lt;=Lists!$AA132,"Check times",IF(COUNTIF(BookingDates,$B132)=0,"Outside range",IF(COUNTIF(RoomList,$C132)=0,"Unknown room",IF(SUMPRODUCT((BkRoom=$C132)*(BkDate=$B132)*(BkStartMin&lt;Lists!$AB132)*(BkEndMin&gt;Lists!$AA132))&gt;1,"Conflict","OK")))))</f>
        <v/>
      </c>
      <c r="L132" s="52" t="str">
        <f aca="false">IF(OR($C132="",$H132="",Lists!$Z132=""),"",IF($H132&gt;Lists!$Z132,"Over capacity",IF(AND($H132*2&lt;=Lists!$Z132,Lists!$Z132-$H132&gt;=4),"Oversized room","Good fit")))</f>
        <v/>
      </c>
    </row>
    <row r="133" customFormat="false" ht="16.5" hidden="false" customHeight="true" outlineLevel="0" collapsed="false">
      <c r="A133" s="44" t="n">
        <v>125</v>
      </c>
      <c r="B133" s="45"/>
      <c r="C133" s="46"/>
      <c r="D133" s="47"/>
      <c r="E133" s="47"/>
      <c r="F133" s="46"/>
      <c r="G133" s="46"/>
      <c r="H133" s="48"/>
      <c r="I133" s="49"/>
      <c r="J133" s="50" t="str">
        <f aca="false">IF(OR($D133="",$E133="",Lists!$AB133&lt;=Lists!$AA133),"",(Lists!$AB133-Lists!$AA133)/60)</f>
        <v/>
      </c>
      <c r="K133" s="51" t="str">
        <f aca="false">IF(COUNTA($B133:$E133)&lt;4,"",IF(Lists!$AB133&lt;=Lists!$AA133,"Check times",IF(COUNTIF(BookingDates,$B133)=0,"Outside range",IF(COUNTIF(RoomList,$C133)=0,"Unknown room",IF(SUMPRODUCT((BkRoom=$C133)*(BkDate=$B133)*(BkStartMin&lt;Lists!$AB133)*(BkEndMin&gt;Lists!$AA133))&gt;1,"Conflict","OK")))))</f>
        <v/>
      </c>
      <c r="L133" s="52" t="str">
        <f aca="false">IF(OR($C133="",$H133="",Lists!$Z133=""),"",IF($H133&gt;Lists!$Z133,"Over capacity",IF(AND($H133*2&lt;=Lists!$Z133,Lists!$Z133-$H133&gt;=4),"Oversized room","Good fit")))</f>
        <v/>
      </c>
    </row>
    <row r="134" customFormat="false" ht="16.5" hidden="false" customHeight="true" outlineLevel="0" collapsed="false">
      <c r="A134" s="44" t="n">
        <v>126</v>
      </c>
      <c r="B134" s="45"/>
      <c r="C134" s="46"/>
      <c r="D134" s="47"/>
      <c r="E134" s="47"/>
      <c r="F134" s="46"/>
      <c r="G134" s="46"/>
      <c r="H134" s="48"/>
      <c r="I134" s="49"/>
      <c r="J134" s="50" t="str">
        <f aca="false">IF(OR($D134="",$E134="",Lists!$AB134&lt;=Lists!$AA134),"",(Lists!$AB134-Lists!$AA134)/60)</f>
        <v/>
      </c>
      <c r="K134" s="51" t="str">
        <f aca="false">IF(COUNTA($B134:$E134)&lt;4,"",IF(Lists!$AB134&lt;=Lists!$AA134,"Check times",IF(COUNTIF(BookingDates,$B134)=0,"Outside range",IF(COUNTIF(RoomList,$C134)=0,"Unknown room",IF(SUMPRODUCT((BkRoom=$C134)*(BkDate=$B134)*(BkStartMin&lt;Lists!$AB134)*(BkEndMin&gt;Lists!$AA134))&gt;1,"Conflict","OK")))))</f>
        <v/>
      </c>
      <c r="L134" s="52" t="str">
        <f aca="false">IF(OR($C134="",$H134="",Lists!$Z134=""),"",IF($H134&gt;Lists!$Z134,"Over capacity",IF(AND($H134*2&lt;=Lists!$Z134,Lists!$Z134-$H134&gt;=4),"Oversized room","Good fit")))</f>
        <v/>
      </c>
    </row>
    <row r="135" customFormat="false" ht="16.5" hidden="false" customHeight="true" outlineLevel="0" collapsed="false">
      <c r="A135" s="44" t="n">
        <v>127</v>
      </c>
      <c r="B135" s="45"/>
      <c r="C135" s="46"/>
      <c r="D135" s="47"/>
      <c r="E135" s="47"/>
      <c r="F135" s="46"/>
      <c r="G135" s="46"/>
      <c r="H135" s="48"/>
      <c r="I135" s="49"/>
      <c r="J135" s="50" t="str">
        <f aca="false">IF(OR($D135="",$E135="",Lists!$AB135&lt;=Lists!$AA135),"",(Lists!$AB135-Lists!$AA135)/60)</f>
        <v/>
      </c>
      <c r="K135" s="51" t="str">
        <f aca="false">IF(COUNTA($B135:$E135)&lt;4,"",IF(Lists!$AB135&lt;=Lists!$AA135,"Check times",IF(COUNTIF(BookingDates,$B135)=0,"Outside range",IF(COUNTIF(RoomList,$C135)=0,"Unknown room",IF(SUMPRODUCT((BkRoom=$C135)*(BkDate=$B135)*(BkStartMin&lt;Lists!$AB135)*(BkEndMin&gt;Lists!$AA135))&gt;1,"Conflict","OK")))))</f>
        <v/>
      </c>
      <c r="L135" s="52" t="str">
        <f aca="false">IF(OR($C135="",$H135="",Lists!$Z135=""),"",IF($H135&gt;Lists!$Z135,"Over capacity",IF(AND($H135*2&lt;=Lists!$Z135,Lists!$Z135-$H135&gt;=4),"Oversized room","Good fit")))</f>
        <v/>
      </c>
    </row>
    <row r="136" customFormat="false" ht="16.5" hidden="false" customHeight="true" outlineLevel="0" collapsed="false">
      <c r="A136" s="44" t="n">
        <v>128</v>
      </c>
      <c r="B136" s="45"/>
      <c r="C136" s="46"/>
      <c r="D136" s="47"/>
      <c r="E136" s="47"/>
      <c r="F136" s="46"/>
      <c r="G136" s="46"/>
      <c r="H136" s="48"/>
      <c r="I136" s="49"/>
      <c r="J136" s="50" t="str">
        <f aca="false">IF(OR($D136="",$E136="",Lists!$AB136&lt;=Lists!$AA136),"",(Lists!$AB136-Lists!$AA136)/60)</f>
        <v/>
      </c>
      <c r="K136" s="51" t="str">
        <f aca="false">IF(COUNTA($B136:$E136)&lt;4,"",IF(Lists!$AB136&lt;=Lists!$AA136,"Check times",IF(COUNTIF(BookingDates,$B136)=0,"Outside range",IF(COUNTIF(RoomList,$C136)=0,"Unknown room",IF(SUMPRODUCT((BkRoom=$C136)*(BkDate=$B136)*(BkStartMin&lt;Lists!$AB136)*(BkEndMin&gt;Lists!$AA136))&gt;1,"Conflict","OK")))))</f>
        <v/>
      </c>
      <c r="L136" s="52" t="str">
        <f aca="false">IF(OR($C136="",$H136="",Lists!$Z136=""),"",IF($H136&gt;Lists!$Z136,"Over capacity",IF(AND($H136*2&lt;=Lists!$Z136,Lists!$Z136-$H136&gt;=4),"Oversized room","Good fit")))</f>
        <v/>
      </c>
    </row>
    <row r="137" customFormat="false" ht="16.5" hidden="false" customHeight="true" outlineLevel="0" collapsed="false">
      <c r="A137" s="44" t="n">
        <v>129</v>
      </c>
      <c r="B137" s="45"/>
      <c r="C137" s="46"/>
      <c r="D137" s="47"/>
      <c r="E137" s="47"/>
      <c r="F137" s="46"/>
      <c r="G137" s="46"/>
      <c r="H137" s="48"/>
      <c r="I137" s="49"/>
      <c r="J137" s="50" t="str">
        <f aca="false">IF(OR($D137="",$E137="",Lists!$AB137&lt;=Lists!$AA137),"",(Lists!$AB137-Lists!$AA137)/60)</f>
        <v/>
      </c>
      <c r="K137" s="51" t="str">
        <f aca="false">IF(COUNTA($B137:$E137)&lt;4,"",IF(Lists!$AB137&lt;=Lists!$AA137,"Check times",IF(COUNTIF(BookingDates,$B137)=0,"Outside range",IF(COUNTIF(RoomList,$C137)=0,"Unknown room",IF(SUMPRODUCT((BkRoom=$C137)*(BkDate=$B137)*(BkStartMin&lt;Lists!$AB137)*(BkEndMin&gt;Lists!$AA137))&gt;1,"Conflict","OK")))))</f>
        <v/>
      </c>
      <c r="L137" s="52" t="str">
        <f aca="false">IF(OR($C137="",$H137="",Lists!$Z137=""),"",IF($H137&gt;Lists!$Z137,"Over capacity",IF(AND($H137*2&lt;=Lists!$Z137,Lists!$Z137-$H137&gt;=4),"Oversized room","Good fit")))</f>
        <v/>
      </c>
    </row>
    <row r="138" customFormat="false" ht="16.5" hidden="false" customHeight="true" outlineLevel="0" collapsed="false">
      <c r="A138" s="44" t="n">
        <v>130</v>
      </c>
      <c r="B138" s="45"/>
      <c r="C138" s="46"/>
      <c r="D138" s="47"/>
      <c r="E138" s="47"/>
      <c r="F138" s="46"/>
      <c r="G138" s="46"/>
      <c r="H138" s="48"/>
      <c r="I138" s="49"/>
      <c r="J138" s="50" t="str">
        <f aca="false">IF(OR($D138="",$E138="",Lists!$AB138&lt;=Lists!$AA138),"",(Lists!$AB138-Lists!$AA138)/60)</f>
        <v/>
      </c>
      <c r="K138" s="51" t="str">
        <f aca="false">IF(COUNTA($B138:$E138)&lt;4,"",IF(Lists!$AB138&lt;=Lists!$AA138,"Check times",IF(COUNTIF(BookingDates,$B138)=0,"Outside range",IF(COUNTIF(RoomList,$C138)=0,"Unknown room",IF(SUMPRODUCT((BkRoom=$C138)*(BkDate=$B138)*(BkStartMin&lt;Lists!$AB138)*(BkEndMin&gt;Lists!$AA138))&gt;1,"Conflict","OK")))))</f>
        <v/>
      </c>
      <c r="L138" s="52" t="str">
        <f aca="false">IF(OR($C138="",$H138="",Lists!$Z138=""),"",IF($H138&gt;Lists!$Z138,"Over capacity",IF(AND($H138*2&lt;=Lists!$Z138,Lists!$Z138-$H138&gt;=4),"Oversized room","Good fit")))</f>
        <v/>
      </c>
    </row>
    <row r="139" customFormat="false" ht="16.5" hidden="false" customHeight="true" outlineLevel="0" collapsed="false">
      <c r="A139" s="44" t="n">
        <v>131</v>
      </c>
      <c r="B139" s="45"/>
      <c r="C139" s="46"/>
      <c r="D139" s="47"/>
      <c r="E139" s="47"/>
      <c r="F139" s="46"/>
      <c r="G139" s="46"/>
      <c r="H139" s="48"/>
      <c r="I139" s="49"/>
      <c r="J139" s="50" t="str">
        <f aca="false">IF(OR($D139="",$E139="",Lists!$AB139&lt;=Lists!$AA139),"",(Lists!$AB139-Lists!$AA139)/60)</f>
        <v/>
      </c>
      <c r="K139" s="51" t="str">
        <f aca="false">IF(COUNTA($B139:$E139)&lt;4,"",IF(Lists!$AB139&lt;=Lists!$AA139,"Check times",IF(COUNTIF(BookingDates,$B139)=0,"Outside range",IF(COUNTIF(RoomList,$C139)=0,"Unknown room",IF(SUMPRODUCT((BkRoom=$C139)*(BkDate=$B139)*(BkStartMin&lt;Lists!$AB139)*(BkEndMin&gt;Lists!$AA139))&gt;1,"Conflict","OK")))))</f>
        <v/>
      </c>
      <c r="L139" s="52" t="str">
        <f aca="false">IF(OR($C139="",$H139="",Lists!$Z139=""),"",IF($H139&gt;Lists!$Z139,"Over capacity",IF(AND($H139*2&lt;=Lists!$Z139,Lists!$Z139-$H139&gt;=4),"Oversized room","Good fit")))</f>
        <v/>
      </c>
    </row>
    <row r="140" customFormat="false" ht="16.5" hidden="false" customHeight="true" outlineLevel="0" collapsed="false">
      <c r="A140" s="44" t="n">
        <v>132</v>
      </c>
      <c r="B140" s="45"/>
      <c r="C140" s="46"/>
      <c r="D140" s="47"/>
      <c r="E140" s="47"/>
      <c r="F140" s="46"/>
      <c r="G140" s="46"/>
      <c r="H140" s="48"/>
      <c r="I140" s="49"/>
      <c r="J140" s="50" t="str">
        <f aca="false">IF(OR($D140="",$E140="",Lists!$AB140&lt;=Lists!$AA140),"",(Lists!$AB140-Lists!$AA140)/60)</f>
        <v/>
      </c>
      <c r="K140" s="51" t="str">
        <f aca="false">IF(COUNTA($B140:$E140)&lt;4,"",IF(Lists!$AB140&lt;=Lists!$AA140,"Check times",IF(COUNTIF(BookingDates,$B140)=0,"Outside range",IF(COUNTIF(RoomList,$C140)=0,"Unknown room",IF(SUMPRODUCT((BkRoom=$C140)*(BkDate=$B140)*(BkStartMin&lt;Lists!$AB140)*(BkEndMin&gt;Lists!$AA140))&gt;1,"Conflict","OK")))))</f>
        <v/>
      </c>
      <c r="L140" s="52" t="str">
        <f aca="false">IF(OR($C140="",$H140="",Lists!$Z140=""),"",IF($H140&gt;Lists!$Z140,"Over capacity",IF(AND($H140*2&lt;=Lists!$Z140,Lists!$Z140-$H140&gt;=4),"Oversized room","Good fit")))</f>
        <v/>
      </c>
    </row>
    <row r="141" customFormat="false" ht="16.5" hidden="false" customHeight="true" outlineLevel="0" collapsed="false">
      <c r="A141" s="44" t="n">
        <v>133</v>
      </c>
      <c r="B141" s="45"/>
      <c r="C141" s="46"/>
      <c r="D141" s="47"/>
      <c r="E141" s="47"/>
      <c r="F141" s="46"/>
      <c r="G141" s="46"/>
      <c r="H141" s="48"/>
      <c r="I141" s="49"/>
      <c r="J141" s="50" t="str">
        <f aca="false">IF(OR($D141="",$E141="",Lists!$AB141&lt;=Lists!$AA141),"",(Lists!$AB141-Lists!$AA141)/60)</f>
        <v/>
      </c>
      <c r="K141" s="51" t="str">
        <f aca="false">IF(COUNTA($B141:$E141)&lt;4,"",IF(Lists!$AB141&lt;=Lists!$AA141,"Check times",IF(COUNTIF(BookingDates,$B141)=0,"Outside range",IF(COUNTIF(RoomList,$C141)=0,"Unknown room",IF(SUMPRODUCT((BkRoom=$C141)*(BkDate=$B141)*(BkStartMin&lt;Lists!$AB141)*(BkEndMin&gt;Lists!$AA141))&gt;1,"Conflict","OK")))))</f>
        <v/>
      </c>
      <c r="L141" s="52" t="str">
        <f aca="false">IF(OR($C141="",$H141="",Lists!$Z141=""),"",IF($H141&gt;Lists!$Z141,"Over capacity",IF(AND($H141*2&lt;=Lists!$Z141,Lists!$Z141-$H141&gt;=4),"Oversized room","Good fit")))</f>
        <v/>
      </c>
    </row>
    <row r="142" customFormat="false" ht="16.5" hidden="false" customHeight="true" outlineLevel="0" collapsed="false">
      <c r="A142" s="44" t="n">
        <v>134</v>
      </c>
      <c r="B142" s="45"/>
      <c r="C142" s="46"/>
      <c r="D142" s="47"/>
      <c r="E142" s="47"/>
      <c r="F142" s="46"/>
      <c r="G142" s="46"/>
      <c r="H142" s="48"/>
      <c r="I142" s="49"/>
      <c r="J142" s="50" t="str">
        <f aca="false">IF(OR($D142="",$E142="",Lists!$AB142&lt;=Lists!$AA142),"",(Lists!$AB142-Lists!$AA142)/60)</f>
        <v/>
      </c>
      <c r="K142" s="51" t="str">
        <f aca="false">IF(COUNTA($B142:$E142)&lt;4,"",IF(Lists!$AB142&lt;=Lists!$AA142,"Check times",IF(COUNTIF(BookingDates,$B142)=0,"Outside range",IF(COUNTIF(RoomList,$C142)=0,"Unknown room",IF(SUMPRODUCT((BkRoom=$C142)*(BkDate=$B142)*(BkStartMin&lt;Lists!$AB142)*(BkEndMin&gt;Lists!$AA142))&gt;1,"Conflict","OK")))))</f>
        <v/>
      </c>
      <c r="L142" s="52" t="str">
        <f aca="false">IF(OR($C142="",$H142="",Lists!$Z142=""),"",IF($H142&gt;Lists!$Z142,"Over capacity",IF(AND($H142*2&lt;=Lists!$Z142,Lists!$Z142-$H142&gt;=4),"Oversized room","Good fit")))</f>
        <v/>
      </c>
    </row>
    <row r="143" customFormat="false" ht="16.5" hidden="false" customHeight="true" outlineLevel="0" collapsed="false">
      <c r="A143" s="44" t="n">
        <v>135</v>
      </c>
      <c r="B143" s="45"/>
      <c r="C143" s="46"/>
      <c r="D143" s="47"/>
      <c r="E143" s="47"/>
      <c r="F143" s="46"/>
      <c r="G143" s="46"/>
      <c r="H143" s="48"/>
      <c r="I143" s="49"/>
      <c r="J143" s="50" t="str">
        <f aca="false">IF(OR($D143="",$E143="",Lists!$AB143&lt;=Lists!$AA143),"",(Lists!$AB143-Lists!$AA143)/60)</f>
        <v/>
      </c>
      <c r="K143" s="51" t="str">
        <f aca="false">IF(COUNTA($B143:$E143)&lt;4,"",IF(Lists!$AB143&lt;=Lists!$AA143,"Check times",IF(COUNTIF(BookingDates,$B143)=0,"Outside range",IF(COUNTIF(RoomList,$C143)=0,"Unknown room",IF(SUMPRODUCT((BkRoom=$C143)*(BkDate=$B143)*(BkStartMin&lt;Lists!$AB143)*(BkEndMin&gt;Lists!$AA143))&gt;1,"Conflict","OK")))))</f>
        <v/>
      </c>
      <c r="L143" s="52" t="str">
        <f aca="false">IF(OR($C143="",$H143="",Lists!$Z143=""),"",IF($H143&gt;Lists!$Z143,"Over capacity",IF(AND($H143*2&lt;=Lists!$Z143,Lists!$Z143-$H143&gt;=4),"Oversized room","Good fit")))</f>
        <v/>
      </c>
    </row>
    <row r="144" customFormat="false" ht="16.5" hidden="false" customHeight="true" outlineLevel="0" collapsed="false">
      <c r="A144" s="44" t="n">
        <v>136</v>
      </c>
      <c r="B144" s="45"/>
      <c r="C144" s="46"/>
      <c r="D144" s="47"/>
      <c r="E144" s="47"/>
      <c r="F144" s="46"/>
      <c r="G144" s="46"/>
      <c r="H144" s="48"/>
      <c r="I144" s="49"/>
      <c r="J144" s="50" t="str">
        <f aca="false">IF(OR($D144="",$E144="",Lists!$AB144&lt;=Lists!$AA144),"",(Lists!$AB144-Lists!$AA144)/60)</f>
        <v/>
      </c>
      <c r="K144" s="51" t="str">
        <f aca="false">IF(COUNTA($B144:$E144)&lt;4,"",IF(Lists!$AB144&lt;=Lists!$AA144,"Check times",IF(COUNTIF(BookingDates,$B144)=0,"Outside range",IF(COUNTIF(RoomList,$C144)=0,"Unknown room",IF(SUMPRODUCT((BkRoom=$C144)*(BkDate=$B144)*(BkStartMin&lt;Lists!$AB144)*(BkEndMin&gt;Lists!$AA144))&gt;1,"Conflict","OK")))))</f>
        <v/>
      </c>
      <c r="L144" s="52" t="str">
        <f aca="false">IF(OR($C144="",$H144="",Lists!$Z144=""),"",IF($H144&gt;Lists!$Z144,"Over capacity",IF(AND($H144*2&lt;=Lists!$Z144,Lists!$Z144-$H144&gt;=4),"Oversized room","Good fit")))</f>
        <v/>
      </c>
    </row>
    <row r="145" customFormat="false" ht="16.5" hidden="false" customHeight="true" outlineLevel="0" collapsed="false">
      <c r="A145" s="44" t="n">
        <v>137</v>
      </c>
      <c r="B145" s="45"/>
      <c r="C145" s="46"/>
      <c r="D145" s="47"/>
      <c r="E145" s="47"/>
      <c r="F145" s="46"/>
      <c r="G145" s="46"/>
      <c r="H145" s="48"/>
      <c r="I145" s="49"/>
      <c r="J145" s="50" t="str">
        <f aca="false">IF(OR($D145="",$E145="",Lists!$AB145&lt;=Lists!$AA145),"",(Lists!$AB145-Lists!$AA145)/60)</f>
        <v/>
      </c>
      <c r="K145" s="51" t="str">
        <f aca="false">IF(COUNTA($B145:$E145)&lt;4,"",IF(Lists!$AB145&lt;=Lists!$AA145,"Check times",IF(COUNTIF(BookingDates,$B145)=0,"Outside range",IF(COUNTIF(RoomList,$C145)=0,"Unknown room",IF(SUMPRODUCT((BkRoom=$C145)*(BkDate=$B145)*(BkStartMin&lt;Lists!$AB145)*(BkEndMin&gt;Lists!$AA145))&gt;1,"Conflict","OK")))))</f>
        <v/>
      </c>
      <c r="L145" s="52" t="str">
        <f aca="false">IF(OR($C145="",$H145="",Lists!$Z145=""),"",IF($H145&gt;Lists!$Z145,"Over capacity",IF(AND($H145*2&lt;=Lists!$Z145,Lists!$Z145-$H145&gt;=4),"Oversized room","Good fit")))</f>
        <v/>
      </c>
    </row>
    <row r="146" customFormat="false" ht="16.5" hidden="false" customHeight="true" outlineLevel="0" collapsed="false">
      <c r="A146" s="44" t="n">
        <v>138</v>
      </c>
      <c r="B146" s="45"/>
      <c r="C146" s="46"/>
      <c r="D146" s="47"/>
      <c r="E146" s="47"/>
      <c r="F146" s="46"/>
      <c r="G146" s="46"/>
      <c r="H146" s="48"/>
      <c r="I146" s="49"/>
      <c r="J146" s="50" t="str">
        <f aca="false">IF(OR($D146="",$E146="",Lists!$AB146&lt;=Lists!$AA146),"",(Lists!$AB146-Lists!$AA146)/60)</f>
        <v/>
      </c>
      <c r="K146" s="51" t="str">
        <f aca="false">IF(COUNTA($B146:$E146)&lt;4,"",IF(Lists!$AB146&lt;=Lists!$AA146,"Check times",IF(COUNTIF(BookingDates,$B146)=0,"Outside range",IF(COUNTIF(RoomList,$C146)=0,"Unknown room",IF(SUMPRODUCT((BkRoom=$C146)*(BkDate=$B146)*(BkStartMin&lt;Lists!$AB146)*(BkEndMin&gt;Lists!$AA146))&gt;1,"Conflict","OK")))))</f>
        <v/>
      </c>
      <c r="L146" s="52" t="str">
        <f aca="false">IF(OR($C146="",$H146="",Lists!$Z146=""),"",IF($H146&gt;Lists!$Z146,"Over capacity",IF(AND($H146*2&lt;=Lists!$Z146,Lists!$Z146-$H146&gt;=4),"Oversized room","Good fit")))</f>
        <v/>
      </c>
    </row>
    <row r="147" customFormat="false" ht="16.5" hidden="false" customHeight="true" outlineLevel="0" collapsed="false">
      <c r="A147" s="44" t="n">
        <v>139</v>
      </c>
      <c r="B147" s="45"/>
      <c r="C147" s="46"/>
      <c r="D147" s="47"/>
      <c r="E147" s="47"/>
      <c r="F147" s="46"/>
      <c r="G147" s="46"/>
      <c r="H147" s="48"/>
      <c r="I147" s="49"/>
      <c r="J147" s="50" t="str">
        <f aca="false">IF(OR($D147="",$E147="",Lists!$AB147&lt;=Lists!$AA147),"",(Lists!$AB147-Lists!$AA147)/60)</f>
        <v/>
      </c>
      <c r="K147" s="51" t="str">
        <f aca="false">IF(COUNTA($B147:$E147)&lt;4,"",IF(Lists!$AB147&lt;=Lists!$AA147,"Check times",IF(COUNTIF(BookingDates,$B147)=0,"Outside range",IF(COUNTIF(RoomList,$C147)=0,"Unknown room",IF(SUMPRODUCT((BkRoom=$C147)*(BkDate=$B147)*(BkStartMin&lt;Lists!$AB147)*(BkEndMin&gt;Lists!$AA147))&gt;1,"Conflict","OK")))))</f>
        <v/>
      </c>
      <c r="L147" s="52" t="str">
        <f aca="false">IF(OR($C147="",$H147="",Lists!$Z147=""),"",IF($H147&gt;Lists!$Z147,"Over capacity",IF(AND($H147*2&lt;=Lists!$Z147,Lists!$Z147-$H147&gt;=4),"Oversized room","Good fit")))</f>
        <v/>
      </c>
    </row>
    <row r="148" customFormat="false" ht="16.5" hidden="false" customHeight="true" outlineLevel="0" collapsed="false">
      <c r="A148" s="44" t="n">
        <v>140</v>
      </c>
      <c r="B148" s="45"/>
      <c r="C148" s="46"/>
      <c r="D148" s="47"/>
      <c r="E148" s="47"/>
      <c r="F148" s="46"/>
      <c r="G148" s="46"/>
      <c r="H148" s="48"/>
      <c r="I148" s="49"/>
      <c r="J148" s="50" t="str">
        <f aca="false">IF(OR($D148="",$E148="",Lists!$AB148&lt;=Lists!$AA148),"",(Lists!$AB148-Lists!$AA148)/60)</f>
        <v/>
      </c>
      <c r="K148" s="51" t="str">
        <f aca="false">IF(COUNTA($B148:$E148)&lt;4,"",IF(Lists!$AB148&lt;=Lists!$AA148,"Check times",IF(COUNTIF(BookingDates,$B148)=0,"Outside range",IF(COUNTIF(RoomList,$C148)=0,"Unknown room",IF(SUMPRODUCT((BkRoom=$C148)*(BkDate=$B148)*(BkStartMin&lt;Lists!$AB148)*(BkEndMin&gt;Lists!$AA148))&gt;1,"Conflict","OK")))))</f>
        <v/>
      </c>
      <c r="L148" s="52" t="str">
        <f aca="false">IF(OR($C148="",$H148="",Lists!$Z148=""),"",IF($H148&gt;Lists!$Z148,"Over capacity",IF(AND($H148*2&lt;=Lists!$Z148,Lists!$Z148-$H148&gt;=4),"Oversized room","Good fit")))</f>
        <v/>
      </c>
    </row>
    <row r="149" customFormat="false" ht="16.5" hidden="false" customHeight="true" outlineLevel="0" collapsed="false">
      <c r="A149" s="44" t="n">
        <v>141</v>
      </c>
      <c r="B149" s="45"/>
      <c r="C149" s="46"/>
      <c r="D149" s="47"/>
      <c r="E149" s="47"/>
      <c r="F149" s="46"/>
      <c r="G149" s="46"/>
      <c r="H149" s="48"/>
      <c r="I149" s="49"/>
      <c r="J149" s="50" t="str">
        <f aca="false">IF(OR($D149="",$E149="",Lists!$AB149&lt;=Lists!$AA149),"",(Lists!$AB149-Lists!$AA149)/60)</f>
        <v/>
      </c>
      <c r="K149" s="51" t="str">
        <f aca="false">IF(COUNTA($B149:$E149)&lt;4,"",IF(Lists!$AB149&lt;=Lists!$AA149,"Check times",IF(COUNTIF(BookingDates,$B149)=0,"Outside range",IF(COUNTIF(RoomList,$C149)=0,"Unknown room",IF(SUMPRODUCT((BkRoom=$C149)*(BkDate=$B149)*(BkStartMin&lt;Lists!$AB149)*(BkEndMin&gt;Lists!$AA149))&gt;1,"Conflict","OK")))))</f>
        <v/>
      </c>
      <c r="L149" s="52" t="str">
        <f aca="false">IF(OR($C149="",$H149="",Lists!$Z149=""),"",IF($H149&gt;Lists!$Z149,"Over capacity",IF(AND($H149*2&lt;=Lists!$Z149,Lists!$Z149-$H149&gt;=4),"Oversized room","Good fit")))</f>
        <v/>
      </c>
    </row>
    <row r="150" customFormat="false" ht="16.5" hidden="false" customHeight="true" outlineLevel="0" collapsed="false">
      <c r="A150" s="44" t="n">
        <v>142</v>
      </c>
      <c r="B150" s="45"/>
      <c r="C150" s="46"/>
      <c r="D150" s="47"/>
      <c r="E150" s="47"/>
      <c r="F150" s="46"/>
      <c r="G150" s="46"/>
      <c r="H150" s="48"/>
      <c r="I150" s="49"/>
      <c r="J150" s="50" t="str">
        <f aca="false">IF(OR($D150="",$E150="",Lists!$AB150&lt;=Lists!$AA150),"",(Lists!$AB150-Lists!$AA150)/60)</f>
        <v/>
      </c>
      <c r="K150" s="51" t="str">
        <f aca="false">IF(COUNTA($B150:$E150)&lt;4,"",IF(Lists!$AB150&lt;=Lists!$AA150,"Check times",IF(COUNTIF(BookingDates,$B150)=0,"Outside range",IF(COUNTIF(RoomList,$C150)=0,"Unknown room",IF(SUMPRODUCT((BkRoom=$C150)*(BkDate=$B150)*(BkStartMin&lt;Lists!$AB150)*(BkEndMin&gt;Lists!$AA150))&gt;1,"Conflict","OK")))))</f>
        <v/>
      </c>
      <c r="L150" s="52" t="str">
        <f aca="false">IF(OR($C150="",$H150="",Lists!$Z150=""),"",IF($H150&gt;Lists!$Z150,"Over capacity",IF(AND($H150*2&lt;=Lists!$Z150,Lists!$Z150-$H150&gt;=4),"Oversized room","Good fit")))</f>
        <v/>
      </c>
    </row>
    <row r="151" customFormat="false" ht="16.5" hidden="false" customHeight="true" outlineLevel="0" collapsed="false">
      <c r="A151" s="44" t="n">
        <v>143</v>
      </c>
      <c r="B151" s="45"/>
      <c r="C151" s="46"/>
      <c r="D151" s="47"/>
      <c r="E151" s="47"/>
      <c r="F151" s="46"/>
      <c r="G151" s="46"/>
      <c r="H151" s="48"/>
      <c r="I151" s="49"/>
      <c r="J151" s="50" t="str">
        <f aca="false">IF(OR($D151="",$E151="",Lists!$AB151&lt;=Lists!$AA151),"",(Lists!$AB151-Lists!$AA151)/60)</f>
        <v/>
      </c>
      <c r="K151" s="51" t="str">
        <f aca="false">IF(COUNTA($B151:$E151)&lt;4,"",IF(Lists!$AB151&lt;=Lists!$AA151,"Check times",IF(COUNTIF(BookingDates,$B151)=0,"Outside range",IF(COUNTIF(RoomList,$C151)=0,"Unknown room",IF(SUMPRODUCT((BkRoom=$C151)*(BkDate=$B151)*(BkStartMin&lt;Lists!$AB151)*(BkEndMin&gt;Lists!$AA151))&gt;1,"Conflict","OK")))))</f>
        <v/>
      </c>
      <c r="L151" s="52" t="str">
        <f aca="false">IF(OR($C151="",$H151="",Lists!$Z151=""),"",IF($H151&gt;Lists!$Z151,"Over capacity",IF(AND($H151*2&lt;=Lists!$Z151,Lists!$Z151-$H151&gt;=4),"Oversized room","Good fit")))</f>
        <v/>
      </c>
    </row>
    <row r="152" customFormat="false" ht="16.5" hidden="false" customHeight="true" outlineLevel="0" collapsed="false">
      <c r="A152" s="44" t="n">
        <v>144</v>
      </c>
      <c r="B152" s="45"/>
      <c r="C152" s="46"/>
      <c r="D152" s="47"/>
      <c r="E152" s="47"/>
      <c r="F152" s="46"/>
      <c r="G152" s="46"/>
      <c r="H152" s="48"/>
      <c r="I152" s="49"/>
      <c r="J152" s="50" t="str">
        <f aca="false">IF(OR($D152="",$E152="",Lists!$AB152&lt;=Lists!$AA152),"",(Lists!$AB152-Lists!$AA152)/60)</f>
        <v/>
      </c>
      <c r="K152" s="51" t="str">
        <f aca="false">IF(COUNTA($B152:$E152)&lt;4,"",IF(Lists!$AB152&lt;=Lists!$AA152,"Check times",IF(COUNTIF(BookingDates,$B152)=0,"Outside range",IF(COUNTIF(RoomList,$C152)=0,"Unknown room",IF(SUMPRODUCT((BkRoom=$C152)*(BkDate=$B152)*(BkStartMin&lt;Lists!$AB152)*(BkEndMin&gt;Lists!$AA152))&gt;1,"Conflict","OK")))))</f>
        <v/>
      </c>
      <c r="L152" s="52" t="str">
        <f aca="false">IF(OR($C152="",$H152="",Lists!$Z152=""),"",IF($H152&gt;Lists!$Z152,"Over capacity",IF(AND($H152*2&lt;=Lists!$Z152,Lists!$Z152-$H152&gt;=4),"Oversized room","Good fit")))</f>
        <v/>
      </c>
    </row>
    <row r="153" customFormat="false" ht="16.5" hidden="false" customHeight="true" outlineLevel="0" collapsed="false">
      <c r="A153" s="44" t="n">
        <v>145</v>
      </c>
      <c r="B153" s="45"/>
      <c r="C153" s="46"/>
      <c r="D153" s="47"/>
      <c r="E153" s="47"/>
      <c r="F153" s="46"/>
      <c r="G153" s="46"/>
      <c r="H153" s="48"/>
      <c r="I153" s="49"/>
      <c r="J153" s="50" t="str">
        <f aca="false">IF(OR($D153="",$E153="",Lists!$AB153&lt;=Lists!$AA153),"",(Lists!$AB153-Lists!$AA153)/60)</f>
        <v/>
      </c>
      <c r="K153" s="51" t="str">
        <f aca="false">IF(COUNTA($B153:$E153)&lt;4,"",IF(Lists!$AB153&lt;=Lists!$AA153,"Check times",IF(COUNTIF(BookingDates,$B153)=0,"Outside range",IF(COUNTIF(RoomList,$C153)=0,"Unknown room",IF(SUMPRODUCT((BkRoom=$C153)*(BkDate=$B153)*(BkStartMin&lt;Lists!$AB153)*(BkEndMin&gt;Lists!$AA153))&gt;1,"Conflict","OK")))))</f>
        <v/>
      </c>
      <c r="L153" s="52" t="str">
        <f aca="false">IF(OR($C153="",$H153="",Lists!$Z153=""),"",IF($H153&gt;Lists!$Z153,"Over capacity",IF(AND($H153*2&lt;=Lists!$Z153,Lists!$Z153-$H153&gt;=4),"Oversized room","Good fit")))</f>
        <v/>
      </c>
    </row>
    <row r="154" customFormat="false" ht="16.5" hidden="false" customHeight="true" outlineLevel="0" collapsed="false">
      <c r="A154" s="44" t="n">
        <v>146</v>
      </c>
      <c r="B154" s="45"/>
      <c r="C154" s="46"/>
      <c r="D154" s="47"/>
      <c r="E154" s="47"/>
      <c r="F154" s="46"/>
      <c r="G154" s="46"/>
      <c r="H154" s="48"/>
      <c r="I154" s="49"/>
      <c r="J154" s="50" t="str">
        <f aca="false">IF(OR($D154="",$E154="",Lists!$AB154&lt;=Lists!$AA154),"",(Lists!$AB154-Lists!$AA154)/60)</f>
        <v/>
      </c>
      <c r="K154" s="51" t="str">
        <f aca="false">IF(COUNTA($B154:$E154)&lt;4,"",IF(Lists!$AB154&lt;=Lists!$AA154,"Check times",IF(COUNTIF(BookingDates,$B154)=0,"Outside range",IF(COUNTIF(RoomList,$C154)=0,"Unknown room",IF(SUMPRODUCT((BkRoom=$C154)*(BkDate=$B154)*(BkStartMin&lt;Lists!$AB154)*(BkEndMin&gt;Lists!$AA154))&gt;1,"Conflict","OK")))))</f>
        <v/>
      </c>
      <c r="L154" s="52" t="str">
        <f aca="false">IF(OR($C154="",$H154="",Lists!$Z154=""),"",IF($H154&gt;Lists!$Z154,"Over capacity",IF(AND($H154*2&lt;=Lists!$Z154,Lists!$Z154-$H154&gt;=4),"Oversized room","Good fit")))</f>
        <v/>
      </c>
    </row>
    <row r="155" customFormat="false" ht="16.5" hidden="false" customHeight="true" outlineLevel="0" collapsed="false">
      <c r="A155" s="44" t="n">
        <v>147</v>
      </c>
      <c r="B155" s="45"/>
      <c r="C155" s="46"/>
      <c r="D155" s="47"/>
      <c r="E155" s="47"/>
      <c r="F155" s="46"/>
      <c r="G155" s="46"/>
      <c r="H155" s="48"/>
      <c r="I155" s="49"/>
      <c r="J155" s="50" t="str">
        <f aca="false">IF(OR($D155="",$E155="",Lists!$AB155&lt;=Lists!$AA155),"",(Lists!$AB155-Lists!$AA155)/60)</f>
        <v/>
      </c>
      <c r="K155" s="51" t="str">
        <f aca="false">IF(COUNTA($B155:$E155)&lt;4,"",IF(Lists!$AB155&lt;=Lists!$AA155,"Check times",IF(COUNTIF(BookingDates,$B155)=0,"Outside range",IF(COUNTIF(RoomList,$C155)=0,"Unknown room",IF(SUMPRODUCT((BkRoom=$C155)*(BkDate=$B155)*(BkStartMin&lt;Lists!$AB155)*(BkEndMin&gt;Lists!$AA155))&gt;1,"Conflict","OK")))))</f>
        <v/>
      </c>
      <c r="L155" s="52" t="str">
        <f aca="false">IF(OR($C155="",$H155="",Lists!$Z155=""),"",IF($H155&gt;Lists!$Z155,"Over capacity",IF(AND($H155*2&lt;=Lists!$Z155,Lists!$Z155-$H155&gt;=4),"Oversized room","Good fit")))</f>
        <v/>
      </c>
    </row>
    <row r="156" customFormat="false" ht="16.5" hidden="false" customHeight="true" outlineLevel="0" collapsed="false">
      <c r="A156" s="44" t="n">
        <v>148</v>
      </c>
      <c r="B156" s="45"/>
      <c r="C156" s="46"/>
      <c r="D156" s="47"/>
      <c r="E156" s="47"/>
      <c r="F156" s="46"/>
      <c r="G156" s="46"/>
      <c r="H156" s="48"/>
      <c r="I156" s="49"/>
      <c r="J156" s="50" t="str">
        <f aca="false">IF(OR($D156="",$E156="",Lists!$AB156&lt;=Lists!$AA156),"",(Lists!$AB156-Lists!$AA156)/60)</f>
        <v/>
      </c>
      <c r="K156" s="51" t="str">
        <f aca="false">IF(COUNTA($B156:$E156)&lt;4,"",IF(Lists!$AB156&lt;=Lists!$AA156,"Check times",IF(COUNTIF(BookingDates,$B156)=0,"Outside range",IF(COUNTIF(RoomList,$C156)=0,"Unknown room",IF(SUMPRODUCT((BkRoom=$C156)*(BkDate=$B156)*(BkStartMin&lt;Lists!$AB156)*(BkEndMin&gt;Lists!$AA156))&gt;1,"Conflict","OK")))))</f>
        <v/>
      </c>
      <c r="L156" s="52" t="str">
        <f aca="false">IF(OR($C156="",$H156="",Lists!$Z156=""),"",IF($H156&gt;Lists!$Z156,"Over capacity",IF(AND($H156*2&lt;=Lists!$Z156,Lists!$Z156-$H156&gt;=4),"Oversized room","Good fit")))</f>
        <v/>
      </c>
    </row>
    <row r="157" customFormat="false" ht="16.5" hidden="false" customHeight="true" outlineLevel="0" collapsed="false">
      <c r="A157" s="44" t="n">
        <v>149</v>
      </c>
      <c r="B157" s="45"/>
      <c r="C157" s="46"/>
      <c r="D157" s="47"/>
      <c r="E157" s="47"/>
      <c r="F157" s="46"/>
      <c r="G157" s="46"/>
      <c r="H157" s="48"/>
      <c r="I157" s="49"/>
      <c r="J157" s="50" t="str">
        <f aca="false">IF(OR($D157="",$E157="",Lists!$AB157&lt;=Lists!$AA157),"",(Lists!$AB157-Lists!$AA157)/60)</f>
        <v/>
      </c>
      <c r="K157" s="51" t="str">
        <f aca="false">IF(COUNTA($B157:$E157)&lt;4,"",IF(Lists!$AB157&lt;=Lists!$AA157,"Check times",IF(COUNTIF(BookingDates,$B157)=0,"Outside range",IF(COUNTIF(RoomList,$C157)=0,"Unknown room",IF(SUMPRODUCT((BkRoom=$C157)*(BkDate=$B157)*(BkStartMin&lt;Lists!$AB157)*(BkEndMin&gt;Lists!$AA157))&gt;1,"Conflict","OK")))))</f>
        <v/>
      </c>
      <c r="L157" s="52" t="str">
        <f aca="false">IF(OR($C157="",$H157="",Lists!$Z157=""),"",IF($H157&gt;Lists!$Z157,"Over capacity",IF(AND($H157*2&lt;=Lists!$Z157,Lists!$Z157-$H157&gt;=4),"Oversized room","Good fit")))</f>
        <v/>
      </c>
    </row>
    <row r="158" customFormat="false" ht="16.5" hidden="false" customHeight="true" outlineLevel="0" collapsed="false">
      <c r="A158" s="44" t="n">
        <v>150</v>
      </c>
      <c r="B158" s="45"/>
      <c r="C158" s="46"/>
      <c r="D158" s="47"/>
      <c r="E158" s="47"/>
      <c r="F158" s="46"/>
      <c r="G158" s="46"/>
      <c r="H158" s="48"/>
      <c r="I158" s="49"/>
      <c r="J158" s="50" t="str">
        <f aca="false">IF(OR($D158="",$E158="",Lists!$AB158&lt;=Lists!$AA158),"",(Lists!$AB158-Lists!$AA158)/60)</f>
        <v/>
      </c>
      <c r="K158" s="51" t="str">
        <f aca="false">IF(COUNTA($B158:$E158)&lt;4,"",IF(Lists!$AB158&lt;=Lists!$AA158,"Check times",IF(COUNTIF(BookingDates,$B158)=0,"Outside range",IF(COUNTIF(RoomList,$C158)=0,"Unknown room",IF(SUMPRODUCT((BkRoom=$C158)*(BkDate=$B158)*(BkStartMin&lt;Lists!$AB158)*(BkEndMin&gt;Lists!$AA158))&gt;1,"Conflict","OK")))))</f>
        <v/>
      </c>
      <c r="L158" s="52" t="str">
        <f aca="false">IF(OR($C158="",$H158="",Lists!$Z158=""),"",IF($H158&gt;Lists!$Z158,"Over capacity",IF(AND($H158*2&lt;=Lists!$Z158,Lists!$Z158-$H158&gt;=4),"Oversized room","Good fit")))</f>
        <v/>
      </c>
    </row>
    <row r="159" customFormat="false" ht="16.5" hidden="false" customHeight="true" outlineLevel="0" collapsed="false">
      <c r="A159" s="44" t="n">
        <v>151</v>
      </c>
      <c r="B159" s="45"/>
      <c r="C159" s="46"/>
      <c r="D159" s="47"/>
      <c r="E159" s="47"/>
      <c r="F159" s="46"/>
      <c r="G159" s="46"/>
      <c r="H159" s="48"/>
      <c r="I159" s="49"/>
      <c r="J159" s="50" t="str">
        <f aca="false">IF(OR($D159="",$E159="",Lists!$AB159&lt;=Lists!$AA159),"",(Lists!$AB159-Lists!$AA159)/60)</f>
        <v/>
      </c>
      <c r="K159" s="51" t="str">
        <f aca="false">IF(COUNTA($B159:$E159)&lt;4,"",IF(Lists!$AB159&lt;=Lists!$AA159,"Check times",IF(COUNTIF(BookingDates,$B159)=0,"Outside range",IF(COUNTIF(RoomList,$C159)=0,"Unknown room",IF(SUMPRODUCT((BkRoom=$C159)*(BkDate=$B159)*(BkStartMin&lt;Lists!$AB159)*(BkEndMin&gt;Lists!$AA159))&gt;1,"Conflict","OK")))))</f>
        <v/>
      </c>
      <c r="L159" s="52" t="str">
        <f aca="false">IF(OR($C159="",$H159="",Lists!$Z159=""),"",IF($H159&gt;Lists!$Z159,"Over capacity",IF(AND($H159*2&lt;=Lists!$Z159,Lists!$Z159-$H159&gt;=4),"Oversized room","Good fit")))</f>
        <v/>
      </c>
    </row>
    <row r="160" customFormat="false" ht="16.5" hidden="false" customHeight="true" outlineLevel="0" collapsed="false">
      <c r="A160" s="44" t="n">
        <v>152</v>
      </c>
      <c r="B160" s="45"/>
      <c r="C160" s="46"/>
      <c r="D160" s="47"/>
      <c r="E160" s="47"/>
      <c r="F160" s="46"/>
      <c r="G160" s="46"/>
      <c r="H160" s="48"/>
      <c r="I160" s="49"/>
      <c r="J160" s="50" t="str">
        <f aca="false">IF(OR($D160="",$E160="",Lists!$AB160&lt;=Lists!$AA160),"",(Lists!$AB160-Lists!$AA160)/60)</f>
        <v/>
      </c>
      <c r="K160" s="51" t="str">
        <f aca="false">IF(COUNTA($B160:$E160)&lt;4,"",IF(Lists!$AB160&lt;=Lists!$AA160,"Check times",IF(COUNTIF(BookingDates,$B160)=0,"Outside range",IF(COUNTIF(RoomList,$C160)=0,"Unknown room",IF(SUMPRODUCT((BkRoom=$C160)*(BkDate=$B160)*(BkStartMin&lt;Lists!$AB160)*(BkEndMin&gt;Lists!$AA160))&gt;1,"Conflict","OK")))))</f>
        <v/>
      </c>
      <c r="L160" s="52" t="str">
        <f aca="false">IF(OR($C160="",$H160="",Lists!$Z160=""),"",IF($H160&gt;Lists!$Z160,"Over capacity",IF(AND($H160*2&lt;=Lists!$Z160,Lists!$Z160-$H160&gt;=4),"Oversized room","Good fit")))</f>
        <v/>
      </c>
    </row>
    <row r="161" customFormat="false" ht="16.5" hidden="false" customHeight="true" outlineLevel="0" collapsed="false">
      <c r="A161" s="44" t="n">
        <v>153</v>
      </c>
      <c r="B161" s="45"/>
      <c r="C161" s="46"/>
      <c r="D161" s="47"/>
      <c r="E161" s="47"/>
      <c r="F161" s="46"/>
      <c r="G161" s="46"/>
      <c r="H161" s="48"/>
      <c r="I161" s="49"/>
      <c r="J161" s="50" t="str">
        <f aca="false">IF(OR($D161="",$E161="",Lists!$AB161&lt;=Lists!$AA161),"",(Lists!$AB161-Lists!$AA161)/60)</f>
        <v/>
      </c>
      <c r="K161" s="51" t="str">
        <f aca="false">IF(COUNTA($B161:$E161)&lt;4,"",IF(Lists!$AB161&lt;=Lists!$AA161,"Check times",IF(COUNTIF(BookingDates,$B161)=0,"Outside range",IF(COUNTIF(RoomList,$C161)=0,"Unknown room",IF(SUMPRODUCT((BkRoom=$C161)*(BkDate=$B161)*(BkStartMin&lt;Lists!$AB161)*(BkEndMin&gt;Lists!$AA161))&gt;1,"Conflict","OK")))))</f>
        <v/>
      </c>
      <c r="L161" s="52" t="str">
        <f aca="false">IF(OR($C161="",$H161="",Lists!$Z161=""),"",IF($H161&gt;Lists!$Z161,"Over capacity",IF(AND($H161*2&lt;=Lists!$Z161,Lists!$Z161-$H161&gt;=4),"Oversized room","Good fit")))</f>
        <v/>
      </c>
    </row>
    <row r="162" customFormat="false" ht="16.5" hidden="false" customHeight="true" outlineLevel="0" collapsed="false">
      <c r="A162" s="44" t="n">
        <v>154</v>
      </c>
      <c r="B162" s="45"/>
      <c r="C162" s="46"/>
      <c r="D162" s="47"/>
      <c r="E162" s="47"/>
      <c r="F162" s="46"/>
      <c r="G162" s="46"/>
      <c r="H162" s="48"/>
      <c r="I162" s="49"/>
      <c r="J162" s="50" t="str">
        <f aca="false">IF(OR($D162="",$E162="",Lists!$AB162&lt;=Lists!$AA162),"",(Lists!$AB162-Lists!$AA162)/60)</f>
        <v/>
      </c>
      <c r="K162" s="51" t="str">
        <f aca="false">IF(COUNTA($B162:$E162)&lt;4,"",IF(Lists!$AB162&lt;=Lists!$AA162,"Check times",IF(COUNTIF(BookingDates,$B162)=0,"Outside range",IF(COUNTIF(RoomList,$C162)=0,"Unknown room",IF(SUMPRODUCT((BkRoom=$C162)*(BkDate=$B162)*(BkStartMin&lt;Lists!$AB162)*(BkEndMin&gt;Lists!$AA162))&gt;1,"Conflict","OK")))))</f>
        <v/>
      </c>
      <c r="L162" s="52" t="str">
        <f aca="false">IF(OR($C162="",$H162="",Lists!$Z162=""),"",IF($H162&gt;Lists!$Z162,"Over capacity",IF(AND($H162*2&lt;=Lists!$Z162,Lists!$Z162-$H162&gt;=4),"Oversized room","Good fit")))</f>
        <v/>
      </c>
    </row>
    <row r="163" customFormat="false" ht="16.5" hidden="false" customHeight="true" outlineLevel="0" collapsed="false">
      <c r="A163" s="44" t="n">
        <v>155</v>
      </c>
      <c r="B163" s="45"/>
      <c r="C163" s="46"/>
      <c r="D163" s="47"/>
      <c r="E163" s="47"/>
      <c r="F163" s="46"/>
      <c r="G163" s="46"/>
      <c r="H163" s="48"/>
      <c r="I163" s="49"/>
      <c r="J163" s="50" t="str">
        <f aca="false">IF(OR($D163="",$E163="",Lists!$AB163&lt;=Lists!$AA163),"",(Lists!$AB163-Lists!$AA163)/60)</f>
        <v/>
      </c>
      <c r="K163" s="51" t="str">
        <f aca="false">IF(COUNTA($B163:$E163)&lt;4,"",IF(Lists!$AB163&lt;=Lists!$AA163,"Check times",IF(COUNTIF(BookingDates,$B163)=0,"Outside range",IF(COUNTIF(RoomList,$C163)=0,"Unknown room",IF(SUMPRODUCT((BkRoom=$C163)*(BkDate=$B163)*(BkStartMin&lt;Lists!$AB163)*(BkEndMin&gt;Lists!$AA163))&gt;1,"Conflict","OK")))))</f>
        <v/>
      </c>
      <c r="L163" s="52" t="str">
        <f aca="false">IF(OR($C163="",$H163="",Lists!$Z163=""),"",IF($H163&gt;Lists!$Z163,"Over capacity",IF(AND($H163*2&lt;=Lists!$Z163,Lists!$Z163-$H163&gt;=4),"Oversized room","Good fit")))</f>
        <v/>
      </c>
    </row>
    <row r="164" customFormat="false" ht="16.5" hidden="false" customHeight="true" outlineLevel="0" collapsed="false">
      <c r="A164" s="44" t="n">
        <v>156</v>
      </c>
      <c r="B164" s="45"/>
      <c r="C164" s="46"/>
      <c r="D164" s="47"/>
      <c r="E164" s="47"/>
      <c r="F164" s="46"/>
      <c r="G164" s="46"/>
      <c r="H164" s="48"/>
      <c r="I164" s="49"/>
      <c r="J164" s="50" t="str">
        <f aca="false">IF(OR($D164="",$E164="",Lists!$AB164&lt;=Lists!$AA164),"",(Lists!$AB164-Lists!$AA164)/60)</f>
        <v/>
      </c>
      <c r="K164" s="51" t="str">
        <f aca="false">IF(COUNTA($B164:$E164)&lt;4,"",IF(Lists!$AB164&lt;=Lists!$AA164,"Check times",IF(COUNTIF(BookingDates,$B164)=0,"Outside range",IF(COUNTIF(RoomList,$C164)=0,"Unknown room",IF(SUMPRODUCT((BkRoom=$C164)*(BkDate=$B164)*(BkStartMin&lt;Lists!$AB164)*(BkEndMin&gt;Lists!$AA164))&gt;1,"Conflict","OK")))))</f>
        <v/>
      </c>
      <c r="L164" s="52" t="str">
        <f aca="false">IF(OR($C164="",$H164="",Lists!$Z164=""),"",IF($H164&gt;Lists!$Z164,"Over capacity",IF(AND($H164*2&lt;=Lists!$Z164,Lists!$Z164-$H164&gt;=4),"Oversized room","Good fit")))</f>
        <v/>
      </c>
    </row>
    <row r="165" customFormat="false" ht="16.5" hidden="false" customHeight="true" outlineLevel="0" collapsed="false">
      <c r="A165" s="44" t="n">
        <v>157</v>
      </c>
      <c r="B165" s="45"/>
      <c r="C165" s="46"/>
      <c r="D165" s="47"/>
      <c r="E165" s="47"/>
      <c r="F165" s="46"/>
      <c r="G165" s="46"/>
      <c r="H165" s="48"/>
      <c r="I165" s="49"/>
      <c r="J165" s="50" t="str">
        <f aca="false">IF(OR($D165="",$E165="",Lists!$AB165&lt;=Lists!$AA165),"",(Lists!$AB165-Lists!$AA165)/60)</f>
        <v/>
      </c>
      <c r="K165" s="51" t="str">
        <f aca="false">IF(COUNTA($B165:$E165)&lt;4,"",IF(Lists!$AB165&lt;=Lists!$AA165,"Check times",IF(COUNTIF(BookingDates,$B165)=0,"Outside range",IF(COUNTIF(RoomList,$C165)=0,"Unknown room",IF(SUMPRODUCT((BkRoom=$C165)*(BkDate=$B165)*(BkStartMin&lt;Lists!$AB165)*(BkEndMin&gt;Lists!$AA165))&gt;1,"Conflict","OK")))))</f>
        <v/>
      </c>
      <c r="L165" s="52" t="str">
        <f aca="false">IF(OR($C165="",$H165="",Lists!$Z165=""),"",IF($H165&gt;Lists!$Z165,"Over capacity",IF(AND($H165*2&lt;=Lists!$Z165,Lists!$Z165-$H165&gt;=4),"Oversized room","Good fit")))</f>
        <v/>
      </c>
    </row>
    <row r="166" customFormat="false" ht="16.5" hidden="false" customHeight="true" outlineLevel="0" collapsed="false">
      <c r="A166" s="44" t="n">
        <v>158</v>
      </c>
      <c r="B166" s="45"/>
      <c r="C166" s="46"/>
      <c r="D166" s="47"/>
      <c r="E166" s="47"/>
      <c r="F166" s="46"/>
      <c r="G166" s="46"/>
      <c r="H166" s="48"/>
      <c r="I166" s="49"/>
      <c r="J166" s="50" t="str">
        <f aca="false">IF(OR($D166="",$E166="",Lists!$AB166&lt;=Lists!$AA166),"",(Lists!$AB166-Lists!$AA166)/60)</f>
        <v/>
      </c>
      <c r="K166" s="51" t="str">
        <f aca="false">IF(COUNTA($B166:$E166)&lt;4,"",IF(Lists!$AB166&lt;=Lists!$AA166,"Check times",IF(COUNTIF(BookingDates,$B166)=0,"Outside range",IF(COUNTIF(RoomList,$C166)=0,"Unknown room",IF(SUMPRODUCT((BkRoom=$C166)*(BkDate=$B166)*(BkStartMin&lt;Lists!$AB166)*(BkEndMin&gt;Lists!$AA166))&gt;1,"Conflict","OK")))))</f>
        <v/>
      </c>
      <c r="L166" s="52" t="str">
        <f aca="false">IF(OR($C166="",$H166="",Lists!$Z166=""),"",IF($H166&gt;Lists!$Z166,"Over capacity",IF(AND($H166*2&lt;=Lists!$Z166,Lists!$Z166-$H166&gt;=4),"Oversized room","Good fit")))</f>
        <v/>
      </c>
    </row>
    <row r="167" customFormat="false" ht="16.5" hidden="false" customHeight="true" outlineLevel="0" collapsed="false">
      <c r="A167" s="44" t="n">
        <v>159</v>
      </c>
      <c r="B167" s="45"/>
      <c r="C167" s="46"/>
      <c r="D167" s="47"/>
      <c r="E167" s="47"/>
      <c r="F167" s="46"/>
      <c r="G167" s="46"/>
      <c r="H167" s="48"/>
      <c r="I167" s="49"/>
      <c r="J167" s="50" t="str">
        <f aca="false">IF(OR($D167="",$E167="",Lists!$AB167&lt;=Lists!$AA167),"",(Lists!$AB167-Lists!$AA167)/60)</f>
        <v/>
      </c>
      <c r="K167" s="51" t="str">
        <f aca="false">IF(COUNTA($B167:$E167)&lt;4,"",IF(Lists!$AB167&lt;=Lists!$AA167,"Check times",IF(COUNTIF(BookingDates,$B167)=0,"Outside range",IF(COUNTIF(RoomList,$C167)=0,"Unknown room",IF(SUMPRODUCT((BkRoom=$C167)*(BkDate=$B167)*(BkStartMin&lt;Lists!$AB167)*(BkEndMin&gt;Lists!$AA167))&gt;1,"Conflict","OK")))))</f>
        <v/>
      </c>
      <c r="L167" s="52" t="str">
        <f aca="false">IF(OR($C167="",$H167="",Lists!$Z167=""),"",IF($H167&gt;Lists!$Z167,"Over capacity",IF(AND($H167*2&lt;=Lists!$Z167,Lists!$Z167-$H167&gt;=4),"Oversized room","Good fit")))</f>
        <v/>
      </c>
    </row>
    <row r="168" customFormat="false" ht="16.5" hidden="false" customHeight="true" outlineLevel="0" collapsed="false">
      <c r="A168" s="44" t="n">
        <v>160</v>
      </c>
      <c r="B168" s="45"/>
      <c r="C168" s="46"/>
      <c r="D168" s="47"/>
      <c r="E168" s="47"/>
      <c r="F168" s="46"/>
      <c r="G168" s="46"/>
      <c r="H168" s="48"/>
      <c r="I168" s="49"/>
      <c r="J168" s="50" t="str">
        <f aca="false">IF(OR($D168="",$E168="",Lists!$AB168&lt;=Lists!$AA168),"",(Lists!$AB168-Lists!$AA168)/60)</f>
        <v/>
      </c>
      <c r="K168" s="51" t="str">
        <f aca="false">IF(COUNTA($B168:$E168)&lt;4,"",IF(Lists!$AB168&lt;=Lists!$AA168,"Check times",IF(COUNTIF(BookingDates,$B168)=0,"Outside range",IF(COUNTIF(RoomList,$C168)=0,"Unknown room",IF(SUMPRODUCT((BkRoom=$C168)*(BkDate=$B168)*(BkStartMin&lt;Lists!$AB168)*(BkEndMin&gt;Lists!$AA168))&gt;1,"Conflict","OK")))))</f>
        <v/>
      </c>
      <c r="L168" s="52" t="str">
        <f aca="false">IF(OR($C168="",$H168="",Lists!$Z168=""),"",IF($H168&gt;Lists!$Z168,"Over capacity",IF(AND($H168*2&lt;=Lists!$Z168,Lists!$Z168-$H168&gt;=4),"Oversized room","Good fit")))</f>
        <v/>
      </c>
    </row>
    <row r="169" customFormat="false" ht="16.5" hidden="false" customHeight="true" outlineLevel="0" collapsed="false">
      <c r="A169" s="44" t="n">
        <v>161</v>
      </c>
      <c r="B169" s="45"/>
      <c r="C169" s="46"/>
      <c r="D169" s="47"/>
      <c r="E169" s="47"/>
      <c r="F169" s="46"/>
      <c r="G169" s="46"/>
      <c r="H169" s="48"/>
      <c r="I169" s="49"/>
      <c r="J169" s="50" t="str">
        <f aca="false">IF(OR($D169="",$E169="",Lists!$AB169&lt;=Lists!$AA169),"",(Lists!$AB169-Lists!$AA169)/60)</f>
        <v/>
      </c>
      <c r="K169" s="51" t="str">
        <f aca="false">IF(COUNTA($B169:$E169)&lt;4,"",IF(Lists!$AB169&lt;=Lists!$AA169,"Check times",IF(COUNTIF(BookingDates,$B169)=0,"Outside range",IF(COUNTIF(RoomList,$C169)=0,"Unknown room",IF(SUMPRODUCT((BkRoom=$C169)*(BkDate=$B169)*(BkStartMin&lt;Lists!$AB169)*(BkEndMin&gt;Lists!$AA169))&gt;1,"Conflict","OK")))))</f>
        <v/>
      </c>
      <c r="L169" s="52" t="str">
        <f aca="false">IF(OR($C169="",$H169="",Lists!$Z169=""),"",IF($H169&gt;Lists!$Z169,"Over capacity",IF(AND($H169*2&lt;=Lists!$Z169,Lists!$Z169-$H169&gt;=4),"Oversized room","Good fit")))</f>
        <v/>
      </c>
    </row>
    <row r="170" customFormat="false" ht="16.5" hidden="false" customHeight="true" outlineLevel="0" collapsed="false">
      <c r="A170" s="44" t="n">
        <v>162</v>
      </c>
      <c r="B170" s="45"/>
      <c r="C170" s="46"/>
      <c r="D170" s="47"/>
      <c r="E170" s="47"/>
      <c r="F170" s="46"/>
      <c r="G170" s="46"/>
      <c r="H170" s="48"/>
      <c r="I170" s="49"/>
      <c r="J170" s="50" t="str">
        <f aca="false">IF(OR($D170="",$E170="",Lists!$AB170&lt;=Lists!$AA170),"",(Lists!$AB170-Lists!$AA170)/60)</f>
        <v/>
      </c>
      <c r="K170" s="51" t="str">
        <f aca="false">IF(COUNTA($B170:$E170)&lt;4,"",IF(Lists!$AB170&lt;=Lists!$AA170,"Check times",IF(COUNTIF(BookingDates,$B170)=0,"Outside range",IF(COUNTIF(RoomList,$C170)=0,"Unknown room",IF(SUMPRODUCT((BkRoom=$C170)*(BkDate=$B170)*(BkStartMin&lt;Lists!$AB170)*(BkEndMin&gt;Lists!$AA170))&gt;1,"Conflict","OK")))))</f>
        <v/>
      </c>
      <c r="L170" s="52" t="str">
        <f aca="false">IF(OR($C170="",$H170="",Lists!$Z170=""),"",IF($H170&gt;Lists!$Z170,"Over capacity",IF(AND($H170*2&lt;=Lists!$Z170,Lists!$Z170-$H170&gt;=4),"Oversized room","Good fit")))</f>
        <v/>
      </c>
    </row>
    <row r="171" customFormat="false" ht="16.5" hidden="false" customHeight="true" outlineLevel="0" collapsed="false">
      <c r="A171" s="44" t="n">
        <v>163</v>
      </c>
      <c r="B171" s="45"/>
      <c r="C171" s="46"/>
      <c r="D171" s="47"/>
      <c r="E171" s="47"/>
      <c r="F171" s="46"/>
      <c r="G171" s="46"/>
      <c r="H171" s="48"/>
      <c r="I171" s="49"/>
      <c r="J171" s="50" t="str">
        <f aca="false">IF(OR($D171="",$E171="",Lists!$AB171&lt;=Lists!$AA171),"",(Lists!$AB171-Lists!$AA171)/60)</f>
        <v/>
      </c>
      <c r="K171" s="51" t="str">
        <f aca="false">IF(COUNTA($B171:$E171)&lt;4,"",IF(Lists!$AB171&lt;=Lists!$AA171,"Check times",IF(COUNTIF(BookingDates,$B171)=0,"Outside range",IF(COUNTIF(RoomList,$C171)=0,"Unknown room",IF(SUMPRODUCT((BkRoom=$C171)*(BkDate=$B171)*(BkStartMin&lt;Lists!$AB171)*(BkEndMin&gt;Lists!$AA171))&gt;1,"Conflict","OK")))))</f>
        <v/>
      </c>
      <c r="L171" s="52" t="str">
        <f aca="false">IF(OR($C171="",$H171="",Lists!$Z171=""),"",IF($H171&gt;Lists!$Z171,"Over capacity",IF(AND($H171*2&lt;=Lists!$Z171,Lists!$Z171-$H171&gt;=4),"Oversized room","Good fit")))</f>
        <v/>
      </c>
    </row>
    <row r="172" customFormat="false" ht="16.5" hidden="false" customHeight="true" outlineLevel="0" collapsed="false">
      <c r="A172" s="44" t="n">
        <v>164</v>
      </c>
      <c r="B172" s="45"/>
      <c r="C172" s="46"/>
      <c r="D172" s="47"/>
      <c r="E172" s="47"/>
      <c r="F172" s="46"/>
      <c r="G172" s="46"/>
      <c r="H172" s="48"/>
      <c r="I172" s="49"/>
      <c r="J172" s="50" t="str">
        <f aca="false">IF(OR($D172="",$E172="",Lists!$AB172&lt;=Lists!$AA172),"",(Lists!$AB172-Lists!$AA172)/60)</f>
        <v/>
      </c>
      <c r="K172" s="51" t="str">
        <f aca="false">IF(COUNTA($B172:$E172)&lt;4,"",IF(Lists!$AB172&lt;=Lists!$AA172,"Check times",IF(COUNTIF(BookingDates,$B172)=0,"Outside range",IF(COUNTIF(RoomList,$C172)=0,"Unknown room",IF(SUMPRODUCT((BkRoom=$C172)*(BkDate=$B172)*(BkStartMin&lt;Lists!$AB172)*(BkEndMin&gt;Lists!$AA172))&gt;1,"Conflict","OK")))))</f>
        <v/>
      </c>
      <c r="L172" s="52" t="str">
        <f aca="false">IF(OR($C172="",$H172="",Lists!$Z172=""),"",IF($H172&gt;Lists!$Z172,"Over capacity",IF(AND($H172*2&lt;=Lists!$Z172,Lists!$Z172-$H172&gt;=4),"Oversized room","Good fit")))</f>
        <v/>
      </c>
    </row>
    <row r="173" customFormat="false" ht="16.5" hidden="false" customHeight="true" outlineLevel="0" collapsed="false">
      <c r="A173" s="44" t="n">
        <v>165</v>
      </c>
      <c r="B173" s="45"/>
      <c r="C173" s="46"/>
      <c r="D173" s="47"/>
      <c r="E173" s="47"/>
      <c r="F173" s="46"/>
      <c r="G173" s="46"/>
      <c r="H173" s="48"/>
      <c r="I173" s="49"/>
      <c r="J173" s="50" t="str">
        <f aca="false">IF(OR($D173="",$E173="",Lists!$AB173&lt;=Lists!$AA173),"",(Lists!$AB173-Lists!$AA173)/60)</f>
        <v/>
      </c>
      <c r="K173" s="51" t="str">
        <f aca="false">IF(COUNTA($B173:$E173)&lt;4,"",IF(Lists!$AB173&lt;=Lists!$AA173,"Check times",IF(COUNTIF(BookingDates,$B173)=0,"Outside range",IF(COUNTIF(RoomList,$C173)=0,"Unknown room",IF(SUMPRODUCT((BkRoom=$C173)*(BkDate=$B173)*(BkStartMin&lt;Lists!$AB173)*(BkEndMin&gt;Lists!$AA173))&gt;1,"Conflict","OK")))))</f>
        <v/>
      </c>
      <c r="L173" s="52" t="str">
        <f aca="false">IF(OR($C173="",$H173="",Lists!$Z173=""),"",IF($H173&gt;Lists!$Z173,"Over capacity",IF(AND($H173*2&lt;=Lists!$Z173,Lists!$Z173-$H173&gt;=4),"Oversized room","Good fit")))</f>
        <v/>
      </c>
    </row>
    <row r="174" customFormat="false" ht="16.5" hidden="false" customHeight="true" outlineLevel="0" collapsed="false">
      <c r="A174" s="44" t="n">
        <v>166</v>
      </c>
      <c r="B174" s="45"/>
      <c r="C174" s="46"/>
      <c r="D174" s="47"/>
      <c r="E174" s="47"/>
      <c r="F174" s="46"/>
      <c r="G174" s="46"/>
      <c r="H174" s="48"/>
      <c r="I174" s="49"/>
      <c r="J174" s="50" t="str">
        <f aca="false">IF(OR($D174="",$E174="",Lists!$AB174&lt;=Lists!$AA174),"",(Lists!$AB174-Lists!$AA174)/60)</f>
        <v/>
      </c>
      <c r="K174" s="51" t="str">
        <f aca="false">IF(COUNTA($B174:$E174)&lt;4,"",IF(Lists!$AB174&lt;=Lists!$AA174,"Check times",IF(COUNTIF(BookingDates,$B174)=0,"Outside range",IF(COUNTIF(RoomList,$C174)=0,"Unknown room",IF(SUMPRODUCT((BkRoom=$C174)*(BkDate=$B174)*(BkStartMin&lt;Lists!$AB174)*(BkEndMin&gt;Lists!$AA174))&gt;1,"Conflict","OK")))))</f>
        <v/>
      </c>
      <c r="L174" s="52" t="str">
        <f aca="false">IF(OR($C174="",$H174="",Lists!$Z174=""),"",IF($H174&gt;Lists!$Z174,"Over capacity",IF(AND($H174*2&lt;=Lists!$Z174,Lists!$Z174-$H174&gt;=4),"Oversized room","Good fit")))</f>
        <v/>
      </c>
    </row>
    <row r="175" customFormat="false" ht="16.5" hidden="false" customHeight="true" outlineLevel="0" collapsed="false">
      <c r="A175" s="44" t="n">
        <v>167</v>
      </c>
      <c r="B175" s="45"/>
      <c r="C175" s="46"/>
      <c r="D175" s="47"/>
      <c r="E175" s="47"/>
      <c r="F175" s="46"/>
      <c r="G175" s="46"/>
      <c r="H175" s="48"/>
      <c r="I175" s="49"/>
      <c r="J175" s="50" t="str">
        <f aca="false">IF(OR($D175="",$E175="",Lists!$AB175&lt;=Lists!$AA175),"",(Lists!$AB175-Lists!$AA175)/60)</f>
        <v/>
      </c>
      <c r="K175" s="51" t="str">
        <f aca="false">IF(COUNTA($B175:$E175)&lt;4,"",IF(Lists!$AB175&lt;=Lists!$AA175,"Check times",IF(COUNTIF(BookingDates,$B175)=0,"Outside range",IF(COUNTIF(RoomList,$C175)=0,"Unknown room",IF(SUMPRODUCT((BkRoom=$C175)*(BkDate=$B175)*(BkStartMin&lt;Lists!$AB175)*(BkEndMin&gt;Lists!$AA175))&gt;1,"Conflict","OK")))))</f>
        <v/>
      </c>
      <c r="L175" s="52" t="str">
        <f aca="false">IF(OR($C175="",$H175="",Lists!$Z175=""),"",IF($H175&gt;Lists!$Z175,"Over capacity",IF(AND($H175*2&lt;=Lists!$Z175,Lists!$Z175-$H175&gt;=4),"Oversized room","Good fit")))</f>
        <v/>
      </c>
    </row>
    <row r="176" customFormat="false" ht="16.5" hidden="false" customHeight="true" outlineLevel="0" collapsed="false">
      <c r="A176" s="44" t="n">
        <v>168</v>
      </c>
      <c r="B176" s="45"/>
      <c r="C176" s="46"/>
      <c r="D176" s="47"/>
      <c r="E176" s="47"/>
      <c r="F176" s="46"/>
      <c r="G176" s="46"/>
      <c r="H176" s="48"/>
      <c r="I176" s="49"/>
      <c r="J176" s="50" t="str">
        <f aca="false">IF(OR($D176="",$E176="",Lists!$AB176&lt;=Lists!$AA176),"",(Lists!$AB176-Lists!$AA176)/60)</f>
        <v/>
      </c>
      <c r="K176" s="51" t="str">
        <f aca="false">IF(COUNTA($B176:$E176)&lt;4,"",IF(Lists!$AB176&lt;=Lists!$AA176,"Check times",IF(COUNTIF(BookingDates,$B176)=0,"Outside range",IF(COUNTIF(RoomList,$C176)=0,"Unknown room",IF(SUMPRODUCT((BkRoom=$C176)*(BkDate=$B176)*(BkStartMin&lt;Lists!$AB176)*(BkEndMin&gt;Lists!$AA176))&gt;1,"Conflict","OK")))))</f>
        <v/>
      </c>
      <c r="L176" s="52" t="str">
        <f aca="false">IF(OR($C176="",$H176="",Lists!$Z176=""),"",IF($H176&gt;Lists!$Z176,"Over capacity",IF(AND($H176*2&lt;=Lists!$Z176,Lists!$Z176-$H176&gt;=4),"Oversized room","Good fit")))</f>
        <v/>
      </c>
    </row>
    <row r="177" customFormat="false" ht="16.5" hidden="false" customHeight="true" outlineLevel="0" collapsed="false">
      <c r="A177" s="44" t="n">
        <v>169</v>
      </c>
      <c r="B177" s="45"/>
      <c r="C177" s="46"/>
      <c r="D177" s="47"/>
      <c r="E177" s="47"/>
      <c r="F177" s="46"/>
      <c r="G177" s="46"/>
      <c r="H177" s="48"/>
      <c r="I177" s="49"/>
      <c r="J177" s="50" t="str">
        <f aca="false">IF(OR($D177="",$E177="",Lists!$AB177&lt;=Lists!$AA177),"",(Lists!$AB177-Lists!$AA177)/60)</f>
        <v/>
      </c>
      <c r="K177" s="51" t="str">
        <f aca="false">IF(COUNTA($B177:$E177)&lt;4,"",IF(Lists!$AB177&lt;=Lists!$AA177,"Check times",IF(COUNTIF(BookingDates,$B177)=0,"Outside range",IF(COUNTIF(RoomList,$C177)=0,"Unknown room",IF(SUMPRODUCT((BkRoom=$C177)*(BkDate=$B177)*(BkStartMin&lt;Lists!$AB177)*(BkEndMin&gt;Lists!$AA177))&gt;1,"Conflict","OK")))))</f>
        <v/>
      </c>
      <c r="L177" s="52" t="str">
        <f aca="false">IF(OR($C177="",$H177="",Lists!$Z177=""),"",IF($H177&gt;Lists!$Z177,"Over capacity",IF(AND($H177*2&lt;=Lists!$Z177,Lists!$Z177-$H177&gt;=4),"Oversized room","Good fit")))</f>
        <v/>
      </c>
    </row>
    <row r="178" customFormat="false" ht="16.5" hidden="false" customHeight="true" outlineLevel="0" collapsed="false">
      <c r="A178" s="44" t="n">
        <v>170</v>
      </c>
      <c r="B178" s="45"/>
      <c r="C178" s="46"/>
      <c r="D178" s="47"/>
      <c r="E178" s="47"/>
      <c r="F178" s="46"/>
      <c r="G178" s="46"/>
      <c r="H178" s="48"/>
      <c r="I178" s="49"/>
      <c r="J178" s="50" t="str">
        <f aca="false">IF(OR($D178="",$E178="",Lists!$AB178&lt;=Lists!$AA178),"",(Lists!$AB178-Lists!$AA178)/60)</f>
        <v/>
      </c>
      <c r="K178" s="51" t="str">
        <f aca="false">IF(COUNTA($B178:$E178)&lt;4,"",IF(Lists!$AB178&lt;=Lists!$AA178,"Check times",IF(COUNTIF(BookingDates,$B178)=0,"Outside range",IF(COUNTIF(RoomList,$C178)=0,"Unknown room",IF(SUMPRODUCT((BkRoom=$C178)*(BkDate=$B178)*(BkStartMin&lt;Lists!$AB178)*(BkEndMin&gt;Lists!$AA178))&gt;1,"Conflict","OK")))))</f>
        <v/>
      </c>
      <c r="L178" s="52" t="str">
        <f aca="false">IF(OR($C178="",$H178="",Lists!$Z178=""),"",IF($H178&gt;Lists!$Z178,"Over capacity",IF(AND($H178*2&lt;=Lists!$Z178,Lists!$Z178-$H178&gt;=4),"Oversized room","Good fit")))</f>
        <v/>
      </c>
    </row>
    <row r="179" customFormat="false" ht="16.5" hidden="false" customHeight="true" outlineLevel="0" collapsed="false">
      <c r="A179" s="44" t="n">
        <v>171</v>
      </c>
      <c r="B179" s="45"/>
      <c r="C179" s="46"/>
      <c r="D179" s="47"/>
      <c r="E179" s="47"/>
      <c r="F179" s="46"/>
      <c r="G179" s="46"/>
      <c r="H179" s="48"/>
      <c r="I179" s="49"/>
      <c r="J179" s="50" t="str">
        <f aca="false">IF(OR($D179="",$E179="",Lists!$AB179&lt;=Lists!$AA179),"",(Lists!$AB179-Lists!$AA179)/60)</f>
        <v/>
      </c>
      <c r="K179" s="51" t="str">
        <f aca="false">IF(COUNTA($B179:$E179)&lt;4,"",IF(Lists!$AB179&lt;=Lists!$AA179,"Check times",IF(COUNTIF(BookingDates,$B179)=0,"Outside range",IF(COUNTIF(RoomList,$C179)=0,"Unknown room",IF(SUMPRODUCT((BkRoom=$C179)*(BkDate=$B179)*(BkStartMin&lt;Lists!$AB179)*(BkEndMin&gt;Lists!$AA179))&gt;1,"Conflict","OK")))))</f>
        <v/>
      </c>
      <c r="L179" s="52" t="str">
        <f aca="false">IF(OR($C179="",$H179="",Lists!$Z179=""),"",IF($H179&gt;Lists!$Z179,"Over capacity",IF(AND($H179*2&lt;=Lists!$Z179,Lists!$Z179-$H179&gt;=4),"Oversized room","Good fit")))</f>
        <v/>
      </c>
    </row>
    <row r="180" customFormat="false" ht="16.5" hidden="false" customHeight="true" outlineLevel="0" collapsed="false">
      <c r="A180" s="44" t="n">
        <v>172</v>
      </c>
      <c r="B180" s="45"/>
      <c r="C180" s="46"/>
      <c r="D180" s="47"/>
      <c r="E180" s="47"/>
      <c r="F180" s="46"/>
      <c r="G180" s="46"/>
      <c r="H180" s="48"/>
      <c r="I180" s="49"/>
      <c r="J180" s="50" t="str">
        <f aca="false">IF(OR($D180="",$E180="",Lists!$AB180&lt;=Lists!$AA180),"",(Lists!$AB180-Lists!$AA180)/60)</f>
        <v/>
      </c>
      <c r="K180" s="51" t="str">
        <f aca="false">IF(COUNTA($B180:$E180)&lt;4,"",IF(Lists!$AB180&lt;=Lists!$AA180,"Check times",IF(COUNTIF(BookingDates,$B180)=0,"Outside range",IF(COUNTIF(RoomList,$C180)=0,"Unknown room",IF(SUMPRODUCT((BkRoom=$C180)*(BkDate=$B180)*(BkStartMin&lt;Lists!$AB180)*(BkEndMin&gt;Lists!$AA180))&gt;1,"Conflict","OK")))))</f>
        <v/>
      </c>
      <c r="L180" s="52" t="str">
        <f aca="false">IF(OR($C180="",$H180="",Lists!$Z180=""),"",IF($H180&gt;Lists!$Z180,"Over capacity",IF(AND($H180*2&lt;=Lists!$Z180,Lists!$Z180-$H180&gt;=4),"Oversized room","Good fit")))</f>
        <v/>
      </c>
    </row>
    <row r="181" customFormat="false" ht="16.5" hidden="false" customHeight="true" outlineLevel="0" collapsed="false">
      <c r="A181" s="44" t="n">
        <v>173</v>
      </c>
      <c r="B181" s="45"/>
      <c r="C181" s="46"/>
      <c r="D181" s="47"/>
      <c r="E181" s="47"/>
      <c r="F181" s="46"/>
      <c r="G181" s="46"/>
      <c r="H181" s="48"/>
      <c r="I181" s="49"/>
      <c r="J181" s="50" t="str">
        <f aca="false">IF(OR($D181="",$E181="",Lists!$AB181&lt;=Lists!$AA181),"",(Lists!$AB181-Lists!$AA181)/60)</f>
        <v/>
      </c>
      <c r="K181" s="51" t="str">
        <f aca="false">IF(COUNTA($B181:$E181)&lt;4,"",IF(Lists!$AB181&lt;=Lists!$AA181,"Check times",IF(COUNTIF(BookingDates,$B181)=0,"Outside range",IF(COUNTIF(RoomList,$C181)=0,"Unknown room",IF(SUMPRODUCT((BkRoom=$C181)*(BkDate=$B181)*(BkStartMin&lt;Lists!$AB181)*(BkEndMin&gt;Lists!$AA181))&gt;1,"Conflict","OK")))))</f>
        <v/>
      </c>
      <c r="L181" s="52" t="str">
        <f aca="false">IF(OR($C181="",$H181="",Lists!$Z181=""),"",IF($H181&gt;Lists!$Z181,"Over capacity",IF(AND($H181*2&lt;=Lists!$Z181,Lists!$Z181-$H181&gt;=4),"Oversized room","Good fit")))</f>
        <v/>
      </c>
    </row>
    <row r="182" customFormat="false" ht="16.5" hidden="false" customHeight="true" outlineLevel="0" collapsed="false">
      <c r="A182" s="44" t="n">
        <v>174</v>
      </c>
      <c r="B182" s="45"/>
      <c r="C182" s="46"/>
      <c r="D182" s="47"/>
      <c r="E182" s="47"/>
      <c r="F182" s="46"/>
      <c r="G182" s="46"/>
      <c r="H182" s="48"/>
      <c r="I182" s="49"/>
      <c r="J182" s="50" t="str">
        <f aca="false">IF(OR($D182="",$E182="",Lists!$AB182&lt;=Lists!$AA182),"",(Lists!$AB182-Lists!$AA182)/60)</f>
        <v/>
      </c>
      <c r="K182" s="51" t="str">
        <f aca="false">IF(COUNTA($B182:$E182)&lt;4,"",IF(Lists!$AB182&lt;=Lists!$AA182,"Check times",IF(COUNTIF(BookingDates,$B182)=0,"Outside range",IF(COUNTIF(RoomList,$C182)=0,"Unknown room",IF(SUMPRODUCT((BkRoom=$C182)*(BkDate=$B182)*(BkStartMin&lt;Lists!$AB182)*(BkEndMin&gt;Lists!$AA182))&gt;1,"Conflict","OK")))))</f>
        <v/>
      </c>
      <c r="L182" s="52" t="str">
        <f aca="false">IF(OR($C182="",$H182="",Lists!$Z182=""),"",IF($H182&gt;Lists!$Z182,"Over capacity",IF(AND($H182*2&lt;=Lists!$Z182,Lists!$Z182-$H182&gt;=4),"Oversized room","Good fit")))</f>
        <v/>
      </c>
    </row>
    <row r="183" customFormat="false" ht="16.5" hidden="false" customHeight="true" outlineLevel="0" collapsed="false">
      <c r="A183" s="44" t="n">
        <v>175</v>
      </c>
      <c r="B183" s="45"/>
      <c r="C183" s="46"/>
      <c r="D183" s="47"/>
      <c r="E183" s="47"/>
      <c r="F183" s="46"/>
      <c r="G183" s="46"/>
      <c r="H183" s="48"/>
      <c r="I183" s="49"/>
      <c r="J183" s="50" t="str">
        <f aca="false">IF(OR($D183="",$E183="",Lists!$AB183&lt;=Lists!$AA183),"",(Lists!$AB183-Lists!$AA183)/60)</f>
        <v/>
      </c>
      <c r="K183" s="51" t="str">
        <f aca="false">IF(COUNTA($B183:$E183)&lt;4,"",IF(Lists!$AB183&lt;=Lists!$AA183,"Check times",IF(COUNTIF(BookingDates,$B183)=0,"Outside range",IF(COUNTIF(RoomList,$C183)=0,"Unknown room",IF(SUMPRODUCT((BkRoom=$C183)*(BkDate=$B183)*(BkStartMin&lt;Lists!$AB183)*(BkEndMin&gt;Lists!$AA183))&gt;1,"Conflict","OK")))))</f>
        <v/>
      </c>
      <c r="L183" s="52" t="str">
        <f aca="false">IF(OR($C183="",$H183="",Lists!$Z183=""),"",IF($H183&gt;Lists!$Z183,"Over capacity",IF(AND($H183*2&lt;=Lists!$Z183,Lists!$Z183-$H183&gt;=4),"Oversized room","Good fit")))</f>
        <v/>
      </c>
    </row>
    <row r="184" customFormat="false" ht="16.5" hidden="false" customHeight="true" outlineLevel="0" collapsed="false">
      <c r="A184" s="44" t="n">
        <v>176</v>
      </c>
      <c r="B184" s="45"/>
      <c r="C184" s="46"/>
      <c r="D184" s="47"/>
      <c r="E184" s="47"/>
      <c r="F184" s="46"/>
      <c r="G184" s="46"/>
      <c r="H184" s="48"/>
      <c r="I184" s="49"/>
      <c r="J184" s="50" t="str">
        <f aca="false">IF(OR($D184="",$E184="",Lists!$AB184&lt;=Lists!$AA184),"",(Lists!$AB184-Lists!$AA184)/60)</f>
        <v/>
      </c>
      <c r="K184" s="51" t="str">
        <f aca="false">IF(COUNTA($B184:$E184)&lt;4,"",IF(Lists!$AB184&lt;=Lists!$AA184,"Check times",IF(COUNTIF(BookingDates,$B184)=0,"Outside range",IF(COUNTIF(RoomList,$C184)=0,"Unknown room",IF(SUMPRODUCT((BkRoom=$C184)*(BkDate=$B184)*(BkStartMin&lt;Lists!$AB184)*(BkEndMin&gt;Lists!$AA184))&gt;1,"Conflict","OK")))))</f>
        <v/>
      </c>
      <c r="L184" s="52" t="str">
        <f aca="false">IF(OR($C184="",$H184="",Lists!$Z184=""),"",IF($H184&gt;Lists!$Z184,"Over capacity",IF(AND($H184*2&lt;=Lists!$Z184,Lists!$Z184-$H184&gt;=4),"Oversized room","Good fit")))</f>
        <v/>
      </c>
    </row>
    <row r="185" customFormat="false" ht="16.5" hidden="false" customHeight="true" outlineLevel="0" collapsed="false">
      <c r="A185" s="44" t="n">
        <v>177</v>
      </c>
      <c r="B185" s="45"/>
      <c r="C185" s="46"/>
      <c r="D185" s="47"/>
      <c r="E185" s="47"/>
      <c r="F185" s="46"/>
      <c r="G185" s="46"/>
      <c r="H185" s="48"/>
      <c r="I185" s="49"/>
      <c r="J185" s="50" t="str">
        <f aca="false">IF(OR($D185="",$E185="",Lists!$AB185&lt;=Lists!$AA185),"",(Lists!$AB185-Lists!$AA185)/60)</f>
        <v/>
      </c>
      <c r="K185" s="51" t="str">
        <f aca="false">IF(COUNTA($B185:$E185)&lt;4,"",IF(Lists!$AB185&lt;=Lists!$AA185,"Check times",IF(COUNTIF(BookingDates,$B185)=0,"Outside range",IF(COUNTIF(RoomList,$C185)=0,"Unknown room",IF(SUMPRODUCT((BkRoom=$C185)*(BkDate=$B185)*(BkStartMin&lt;Lists!$AB185)*(BkEndMin&gt;Lists!$AA185))&gt;1,"Conflict","OK")))))</f>
        <v/>
      </c>
      <c r="L185" s="52" t="str">
        <f aca="false">IF(OR($C185="",$H185="",Lists!$Z185=""),"",IF($H185&gt;Lists!$Z185,"Over capacity",IF(AND($H185*2&lt;=Lists!$Z185,Lists!$Z185-$H185&gt;=4),"Oversized room","Good fit")))</f>
        <v/>
      </c>
    </row>
    <row r="186" customFormat="false" ht="16.5" hidden="false" customHeight="true" outlineLevel="0" collapsed="false">
      <c r="A186" s="44" t="n">
        <v>178</v>
      </c>
      <c r="B186" s="45"/>
      <c r="C186" s="46"/>
      <c r="D186" s="47"/>
      <c r="E186" s="47"/>
      <c r="F186" s="46"/>
      <c r="G186" s="46"/>
      <c r="H186" s="48"/>
      <c r="I186" s="49"/>
      <c r="J186" s="50" t="str">
        <f aca="false">IF(OR($D186="",$E186="",Lists!$AB186&lt;=Lists!$AA186),"",(Lists!$AB186-Lists!$AA186)/60)</f>
        <v/>
      </c>
      <c r="K186" s="51" t="str">
        <f aca="false">IF(COUNTA($B186:$E186)&lt;4,"",IF(Lists!$AB186&lt;=Lists!$AA186,"Check times",IF(COUNTIF(BookingDates,$B186)=0,"Outside range",IF(COUNTIF(RoomList,$C186)=0,"Unknown room",IF(SUMPRODUCT((BkRoom=$C186)*(BkDate=$B186)*(BkStartMin&lt;Lists!$AB186)*(BkEndMin&gt;Lists!$AA186))&gt;1,"Conflict","OK")))))</f>
        <v/>
      </c>
      <c r="L186" s="52" t="str">
        <f aca="false">IF(OR($C186="",$H186="",Lists!$Z186=""),"",IF($H186&gt;Lists!$Z186,"Over capacity",IF(AND($H186*2&lt;=Lists!$Z186,Lists!$Z186-$H186&gt;=4),"Oversized room","Good fit")))</f>
        <v/>
      </c>
    </row>
    <row r="187" customFormat="false" ht="16.5" hidden="false" customHeight="true" outlineLevel="0" collapsed="false">
      <c r="A187" s="44" t="n">
        <v>179</v>
      </c>
      <c r="B187" s="45"/>
      <c r="C187" s="46"/>
      <c r="D187" s="47"/>
      <c r="E187" s="47"/>
      <c r="F187" s="46"/>
      <c r="G187" s="46"/>
      <c r="H187" s="48"/>
      <c r="I187" s="49"/>
      <c r="J187" s="50" t="str">
        <f aca="false">IF(OR($D187="",$E187="",Lists!$AB187&lt;=Lists!$AA187),"",(Lists!$AB187-Lists!$AA187)/60)</f>
        <v/>
      </c>
      <c r="K187" s="51" t="str">
        <f aca="false">IF(COUNTA($B187:$E187)&lt;4,"",IF(Lists!$AB187&lt;=Lists!$AA187,"Check times",IF(COUNTIF(BookingDates,$B187)=0,"Outside range",IF(COUNTIF(RoomList,$C187)=0,"Unknown room",IF(SUMPRODUCT((BkRoom=$C187)*(BkDate=$B187)*(BkStartMin&lt;Lists!$AB187)*(BkEndMin&gt;Lists!$AA187))&gt;1,"Conflict","OK")))))</f>
        <v/>
      </c>
      <c r="L187" s="52" t="str">
        <f aca="false">IF(OR($C187="",$H187="",Lists!$Z187=""),"",IF($H187&gt;Lists!$Z187,"Over capacity",IF(AND($H187*2&lt;=Lists!$Z187,Lists!$Z187-$H187&gt;=4),"Oversized room","Good fit")))</f>
        <v/>
      </c>
    </row>
    <row r="188" customFormat="false" ht="16.5" hidden="false" customHeight="true" outlineLevel="0" collapsed="false">
      <c r="A188" s="44" t="n">
        <v>180</v>
      </c>
      <c r="B188" s="45"/>
      <c r="C188" s="46"/>
      <c r="D188" s="47"/>
      <c r="E188" s="47"/>
      <c r="F188" s="46"/>
      <c r="G188" s="46"/>
      <c r="H188" s="48"/>
      <c r="I188" s="49"/>
      <c r="J188" s="50" t="str">
        <f aca="false">IF(OR($D188="",$E188="",Lists!$AB188&lt;=Lists!$AA188),"",(Lists!$AB188-Lists!$AA188)/60)</f>
        <v/>
      </c>
      <c r="K188" s="51" t="str">
        <f aca="false">IF(COUNTA($B188:$E188)&lt;4,"",IF(Lists!$AB188&lt;=Lists!$AA188,"Check times",IF(COUNTIF(BookingDates,$B188)=0,"Outside range",IF(COUNTIF(RoomList,$C188)=0,"Unknown room",IF(SUMPRODUCT((BkRoom=$C188)*(BkDate=$B188)*(BkStartMin&lt;Lists!$AB188)*(BkEndMin&gt;Lists!$AA188))&gt;1,"Conflict","OK")))))</f>
        <v/>
      </c>
      <c r="L188" s="52" t="str">
        <f aca="false">IF(OR($C188="",$H188="",Lists!$Z188=""),"",IF($H188&gt;Lists!$Z188,"Over capacity",IF(AND($H188*2&lt;=Lists!$Z188,Lists!$Z188-$H188&gt;=4),"Oversized room","Good fit")))</f>
        <v/>
      </c>
    </row>
    <row r="189" customFormat="false" ht="16.5" hidden="false" customHeight="true" outlineLevel="0" collapsed="false">
      <c r="A189" s="44" t="n">
        <v>181</v>
      </c>
      <c r="B189" s="45"/>
      <c r="C189" s="46"/>
      <c r="D189" s="47"/>
      <c r="E189" s="47"/>
      <c r="F189" s="46"/>
      <c r="G189" s="46"/>
      <c r="H189" s="48"/>
      <c r="I189" s="49"/>
      <c r="J189" s="50" t="str">
        <f aca="false">IF(OR($D189="",$E189="",Lists!$AB189&lt;=Lists!$AA189),"",(Lists!$AB189-Lists!$AA189)/60)</f>
        <v/>
      </c>
      <c r="K189" s="51" t="str">
        <f aca="false">IF(COUNTA($B189:$E189)&lt;4,"",IF(Lists!$AB189&lt;=Lists!$AA189,"Check times",IF(COUNTIF(BookingDates,$B189)=0,"Outside range",IF(COUNTIF(RoomList,$C189)=0,"Unknown room",IF(SUMPRODUCT((BkRoom=$C189)*(BkDate=$B189)*(BkStartMin&lt;Lists!$AB189)*(BkEndMin&gt;Lists!$AA189))&gt;1,"Conflict","OK")))))</f>
        <v/>
      </c>
      <c r="L189" s="52" t="str">
        <f aca="false">IF(OR($C189="",$H189="",Lists!$Z189=""),"",IF($H189&gt;Lists!$Z189,"Over capacity",IF(AND($H189*2&lt;=Lists!$Z189,Lists!$Z189-$H189&gt;=4),"Oversized room","Good fit")))</f>
        <v/>
      </c>
    </row>
    <row r="190" customFormat="false" ht="16.5" hidden="false" customHeight="true" outlineLevel="0" collapsed="false">
      <c r="A190" s="44" t="n">
        <v>182</v>
      </c>
      <c r="B190" s="45"/>
      <c r="C190" s="46"/>
      <c r="D190" s="47"/>
      <c r="E190" s="47"/>
      <c r="F190" s="46"/>
      <c r="G190" s="46"/>
      <c r="H190" s="48"/>
      <c r="I190" s="49"/>
      <c r="J190" s="50" t="str">
        <f aca="false">IF(OR($D190="",$E190="",Lists!$AB190&lt;=Lists!$AA190),"",(Lists!$AB190-Lists!$AA190)/60)</f>
        <v/>
      </c>
      <c r="K190" s="51" t="str">
        <f aca="false">IF(COUNTA($B190:$E190)&lt;4,"",IF(Lists!$AB190&lt;=Lists!$AA190,"Check times",IF(COUNTIF(BookingDates,$B190)=0,"Outside range",IF(COUNTIF(RoomList,$C190)=0,"Unknown room",IF(SUMPRODUCT((BkRoom=$C190)*(BkDate=$B190)*(BkStartMin&lt;Lists!$AB190)*(BkEndMin&gt;Lists!$AA190))&gt;1,"Conflict","OK")))))</f>
        <v/>
      </c>
      <c r="L190" s="52" t="str">
        <f aca="false">IF(OR($C190="",$H190="",Lists!$Z190=""),"",IF($H190&gt;Lists!$Z190,"Over capacity",IF(AND($H190*2&lt;=Lists!$Z190,Lists!$Z190-$H190&gt;=4),"Oversized room","Good fit")))</f>
        <v/>
      </c>
    </row>
    <row r="191" customFormat="false" ht="16.5" hidden="false" customHeight="true" outlineLevel="0" collapsed="false">
      <c r="A191" s="44" t="n">
        <v>183</v>
      </c>
      <c r="B191" s="45"/>
      <c r="C191" s="46"/>
      <c r="D191" s="47"/>
      <c r="E191" s="47"/>
      <c r="F191" s="46"/>
      <c r="G191" s="46"/>
      <c r="H191" s="48"/>
      <c r="I191" s="49"/>
      <c r="J191" s="50" t="str">
        <f aca="false">IF(OR($D191="",$E191="",Lists!$AB191&lt;=Lists!$AA191),"",(Lists!$AB191-Lists!$AA191)/60)</f>
        <v/>
      </c>
      <c r="K191" s="51" t="str">
        <f aca="false">IF(COUNTA($B191:$E191)&lt;4,"",IF(Lists!$AB191&lt;=Lists!$AA191,"Check times",IF(COUNTIF(BookingDates,$B191)=0,"Outside range",IF(COUNTIF(RoomList,$C191)=0,"Unknown room",IF(SUMPRODUCT((BkRoom=$C191)*(BkDate=$B191)*(BkStartMin&lt;Lists!$AB191)*(BkEndMin&gt;Lists!$AA191))&gt;1,"Conflict","OK")))))</f>
        <v/>
      </c>
      <c r="L191" s="52" t="str">
        <f aca="false">IF(OR($C191="",$H191="",Lists!$Z191=""),"",IF($H191&gt;Lists!$Z191,"Over capacity",IF(AND($H191*2&lt;=Lists!$Z191,Lists!$Z191-$H191&gt;=4),"Oversized room","Good fit")))</f>
        <v/>
      </c>
    </row>
    <row r="192" customFormat="false" ht="16.5" hidden="false" customHeight="true" outlineLevel="0" collapsed="false">
      <c r="A192" s="44" t="n">
        <v>184</v>
      </c>
      <c r="B192" s="45"/>
      <c r="C192" s="46"/>
      <c r="D192" s="47"/>
      <c r="E192" s="47"/>
      <c r="F192" s="46"/>
      <c r="G192" s="46"/>
      <c r="H192" s="48"/>
      <c r="I192" s="49"/>
      <c r="J192" s="50" t="str">
        <f aca="false">IF(OR($D192="",$E192="",Lists!$AB192&lt;=Lists!$AA192),"",(Lists!$AB192-Lists!$AA192)/60)</f>
        <v/>
      </c>
      <c r="K192" s="51" t="str">
        <f aca="false">IF(COUNTA($B192:$E192)&lt;4,"",IF(Lists!$AB192&lt;=Lists!$AA192,"Check times",IF(COUNTIF(BookingDates,$B192)=0,"Outside range",IF(COUNTIF(RoomList,$C192)=0,"Unknown room",IF(SUMPRODUCT((BkRoom=$C192)*(BkDate=$B192)*(BkStartMin&lt;Lists!$AB192)*(BkEndMin&gt;Lists!$AA192))&gt;1,"Conflict","OK")))))</f>
        <v/>
      </c>
      <c r="L192" s="52" t="str">
        <f aca="false">IF(OR($C192="",$H192="",Lists!$Z192=""),"",IF($H192&gt;Lists!$Z192,"Over capacity",IF(AND($H192*2&lt;=Lists!$Z192,Lists!$Z192-$H192&gt;=4),"Oversized room","Good fit")))</f>
        <v/>
      </c>
    </row>
    <row r="193" customFormat="false" ht="16.5" hidden="false" customHeight="true" outlineLevel="0" collapsed="false">
      <c r="A193" s="44" t="n">
        <v>185</v>
      </c>
      <c r="B193" s="45"/>
      <c r="C193" s="46"/>
      <c r="D193" s="47"/>
      <c r="E193" s="47"/>
      <c r="F193" s="46"/>
      <c r="G193" s="46"/>
      <c r="H193" s="48"/>
      <c r="I193" s="49"/>
      <c r="J193" s="50" t="str">
        <f aca="false">IF(OR($D193="",$E193="",Lists!$AB193&lt;=Lists!$AA193),"",(Lists!$AB193-Lists!$AA193)/60)</f>
        <v/>
      </c>
      <c r="K193" s="51" t="str">
        <f aca="false">IF(COUNTA($B193:$E193)&lt;4,"",IF(Lists!$AB193&lt;=Lists!$AA193,"Check times",IF(COUNTIF(BookingDates,$B193)=0,"Outside range",IF(COUNTIF(RoomList,$C193)=0,"Unknown room",IF(SUMPRODUCT((BkRoom=$C193)*(BkDate=$B193)*(BkStartMin&lt;Lists!$AB193)*(BkEndMin&gt;Lists!$AA193))&gt;1,"Conflict","OK")))))</f>
        <v/>
      </c>
      <c r="L193" s="52" t="str">
        <f aca="false">IF(OR($C193="",$H193="",Lists!$Z193=""),"",IF($H193&gt;Lists!$Z193,"Over capacity",IF(AND($H193*2&lt;=Lists!$Z193,Lists!$Z193-$H193&gt;=4),"Oversized room","Good fit")))</f>
        <v/>
      </c>
    </row>
    <row r="194" customFormat="false" ht="16.5" hidden="false" customHeight="true" outlineLevel="0" collapsed="false">
      <c r="A194" s="44" t="n">
        <v>186</v>
      </c>
      <c r="B194" s="45"/>
      <c r="C194" s="46"/>
      <c r="D194" s="47"/>
      <c r="E194" s="47"/>
      <c r="F194" s="46"/>
      <c r="G194" s="46"/>
      <c r="H194" s="48"/>
      <c r="I194" s="49"/>
      <c r="J194" s="50" t="str">
        <f aca="false">IF(OR($D194="",$E194="",Lists!$AB194&lt;=Lists!$AA194),"",(Lists!$AB194-Lists!$AA194)/60)</f>
        <v/>
      </c>
      <c r="K194" s="51" t="str">
        <f aca="false">IF(COUNTA($B194:$E194)&lt;4,"",IF(Lists!$AB194&lt;=Lists!$AA194,"Check times",IF(COUNTIF(BookingDates,$B194)=0,"Outside range",IF(COUNTIF(RoomList,$C194)=0,"Unknown room",IF(SUMPRODUCT((BkRoom=$C194)*(BkDate=$B194)*(BkStartMin&lt;Lists!$AB194)*(BkEndMin&gt;Lists!$AA194))&gt;1,"Conflict","OK")))))</f>
        <v/>
      </c>
      <c r="L194" s="52" t="str">
        <f aca="false">IF(OR($C194="",$H194="",Lists!$Z194=""),"",IF($H194&gt;Lists!$Z194,"Over capacity",IF(AND($H194*2&lt;=Lists!$Z194,Lists!$Z194-$H194&gt;=4),"Oversized room","Good fit")))</f>
        <v/>
      </c>
    </row>
    <row r="195" customFormat="false" ht="16.5" hidden="false" customHeight="true" outlineLevel="0" collapsed="false">
      <c r="A195" s="44" t="n">
        <v>187</v>
      </c>
      <c r="B195" s="45"/>
      <c r="C195" s="46"/>
      <c r="D195" s="47"/>
      <c r="E195" s="47"/>
      <c r="F195" s="46"/>
      <c r="G195" s="46"/>
      <c r="H195" s="48"/>
      <c r="I195" s="49"/>
      <c r="J195" s="50" t="str">
        <f aca="false">IF(OR($D195="",$E195="",Lists!$AB195&lt;=Lists!$AA195),"",(Lists!$AB195-Lists!$AA195)/60)</f>
        <v/>
      </c>
      <c r="K195" s="51" t="str">
        <f aca="false">IF(COUNTA($B195:$E195)&lt;4,"",IF(Lists!$AB195&lt;=Lists!$AA195,"Check times",IF(COUNTIF(BookingDates,$B195)=0,"Outside range",IF(COUNTIF(RoomList,$C195)=0,"Unknown room",IF(SUMPRODUCT((BkRoom=$C195)*(BkDate=$B195)*(BkStartMin&lt;Lists!$AB195)*(BkEndMin&gt;Lists!$AA195))&gt;1,"Conflict","OK")))))</f>
        <v/>
      </c>
      <c r="L195" s="52" t="str">
        <f aca="false">IF(OR($C195="",$H195="",Lists!$Z195=""),"",IF($H195&gt;Lists!$Z195,"Over capacity",IF(AND($H195*2&lt;=Lists!$Z195,Lists!$Z195-$H195&gt;=4),"Oversized room","Good fit")))</f>
        <v/>
      </c>
    </row>
    <row r="196" customFormat="false" ht="16.5" hidden="false" customHeight="true" outlineLevel="0" collapsed="false">
      <c r="A196" s="44" t="n">
        <v>188</v>
      </c>
      <c r="B196" s="45"/>
      <c r="C196" s="46"/>
      <c r="D196" s="47"/>
      <c r="E196" s="47"/>
      <c r="F196" s="46"/>
      <c r="G196" s="46"/>
      <c r="H196" s="48"/>
      <c r="I196" s="49"/>
      <c r="J196" s="50" t="str">
        <f aca="false">IF(OR($D196="",$E196="",Lists!$AB196&lt;=Lists!$AA196),"",(Lists!$AB196-Lists!$AA196)/60)</f>
        <v/>
      </c>
      <c r="K196" s="51" t="str">
        <f aca="false">IF(COUNTA($B196:$E196)&lt;4,"",IF(Lists!$AB196&lt;=Lists!$AA196,"Check times",IF(COUNTIF(BookingDates,$B196)=0,"Outside range",IF(COUNTIF(RoomList,$C196)=0,"Unknown room",IF(SUMPRODUCT((BkRoom=$C196)*(BkDate=$B196)*(BkStartMin&lt;Lists!$AB196)*(BkEndMin&gt;Lists!$AA196))&gt;1,"Conflict","OK")))))</f>
        <v/>
      </c>
      <c r="L196" s="52" t="str">
        <f aca="false">IF(OR($C196="",$H196="",Lists!$Z196=""),"",IF($H196&gt;Lists!$Z196,"Over capacity",IF(AND($H196*2&lt;=Lists!$Z196,Lists!$Z196-$H196&gt;=4),"Oversized room","Good fit")))</f>
        <v/>
      </c>
    </row>
    <row r="197" customFormat="false" ht="16.5" hidden="false" customHeight="true" outlineLevel="0" collapsed="false">
      <c r="A197" s="44" t="n">
        <v>189</v>
      </c>
      <c r="B197" s="45"/>
      <c r="C197" s="46"/>
      <c r="D197" s="47"/>
      <c r="E197" s="47"/>
      <c r="F197" s="46"/>
      <c r="G197" s="46"/>
      <c r="H197" s="48"/>
      <c r="I197" s="49"/>
      <c r="J197" s="50" t="str">
        <f aca="false">IF(OR($D197="",$E197="",Lists!$AB197&lt;=Lists!$AA197),"",(Lists!$AB197-Lists!$AA197)/60)</f>
        <v/>
      </c>
      <c r="K197" s="51" t="str">
        <f aca="false">IF(COUNTA($B197:$E197)&lt;4,"",IF(Lists!$AB197&lt;=Lists!$AA197,"Check times",IF(COUNTIF(BookingDates,$B197)=0,"Outside range",IF(COUNTIF(RoomList,$C197)=0,"Unknown room",IF(SUMPRODUCT((BkRoom=$C197)*(BkDate=$B197)*(BkStartMin&lt;Lists!$AB197)*(BkEndMin&gt;Lists!$AA197))&gt;1,"Conflict","OK")))))</f>
        <v/>
      </c>
      <c r="L197" s="52" t="str">
        <f aca="false">IF(OR($C197="",$H197="",Lists!$Z197=""),"",IF($H197&gt;Lists!$Z197,"Over capacity",IF(AND($H197*2&lt;=Lists!$Z197,Lists!$Z197-$H197&gt;=4),"Oversized room","Good fit")))</f>
        <v/>
      </c>
    </row>
    <row r="198" customFormat="false" ht="16.5" hidden="false" customHeight="true" outlineLevel="0" collapsed="false">
      <c r="A198" s="44" t="n">
        <v>190</v>
      </c>
      <c r="B198" s="45"/>
      <c r="C198" s="46"/>
      <c r="D198" s="47"/>
      <c r="E198" s="47"/>
      <c r="F198" s="46"/>
      <c r="G198" s="46"/>
      <c r="H198" s="48"/>
      <c r="I198" s="49"/>
      <c r="J198" s="50" t="str">
        <f aca="false">IF(OR($D198="",$E198="",Lists!$AB198&lt;=Lists!$AA198),"",(Lists!$AB198-Lists!$AA198)/60)</f>
        <v/>
      </c>
      <c r="K198" s="51" t="str">
        <f aca="false">IF(COUNTA($B198:$E198)&lt;4,"",IF(Lists!$AB198&lt;=Lists!$AA198,"Check times",IF(COUNTIF(BookingDates,$B198)=0,"Outside range",IF(COUNTIF(RoomList,$C198)=0,"Unknown room",IF(SUMPRODUCT((BkRoom=$C198)*(BkDate=$B198)*(BkStartMin&lt;Lists!$AB198)*(BkEndMin&gt;Lists!$AA198))&gt;1,"Conflict","OK")))))</f>
        <v/>
      </c>
      <c r="L198" s="52" t="str">
        <f aca="false">IF(OR($C198="",$H198="",Lists!$Z198=""),"",IF($H198&gt;Lists!$Z198,"Over capacity",IF(AND($H198*2&lt;=Lists!$Z198,Lists!$Z198-$H198&gt;=4),"Oversized room","Good fit")))</f>
        <v/>
      </c>
    </row>
    <row r="199" customFormat="false" ht="16.5" hidden="false" customHeight="true" outlineLevel="0" collapsed="false">
      <c r="A199" s="44" t="n">
        <v>191</v>
      </c>
      <c r="B199" s="45"/>
      <c r="C199" s="46"/>
      <c r="D199" s="47"/>
      <c r="E199" s="47"/>
      <c r="F199" s="46"/>
      <c r="G199" s="46"/>
      <c r="H199" s="48"/>
      <c r="I199" s="49"/>
      <c r="J199" s="50" t="str">
        <f aca="false">IF(OR($D199="",$E199="",Lists!$AB199&lt;=Lists!$AA199),"",(Lists!$AB199-Lists!$AA199)/60)</f>
        <v/>
      </c>
      <c r="K199" s="51" t="str">
        <f aca="false">IF(COUNTA($B199:$E199)&lt;4,"",IF(Lists!$AB199&lt;=Lists!$AA199,"Check times",IF(COUNTIF(BookingDates,$B199)=0,"Outside range",IF(COUNTIF(RoomList,$C199)=0,"Unknown room",IF(SUMPRODUCT((BkRoom=$C199)*(BkDate=$B199)*(BkStartMin&lt;Lists!$AB199)*(BkEndMin&gt;Lists!$AA199))&gt;1,"Conflict","OK")))))</f>
        <v/>
      </c>
      <c r="L199" s="52" t="str">
        <f aca="false">IF(OR($C199="",$H199="",Lists!$Z199=""),"",IF($H199&gt;Lists!$Z199,"Over capacity",IF(AND($H199*2&lt;=Lists!$Z199,Lists!$Z199-$H199&gt;=4),"Oversized room","Good fit")))</f>
        <v/>
      </c>
    </row>
    <row r="200" customFormat="false" ht="16.5" hidden="false" customHeight="true" outlineLevel="0" collapsed="false">
      <c r="A200" s="44" t="n">
        <v>192</v>
      </c>
      <c r="B200" s="45"/>
      <c r="C200" s="46"/>
      <c r="D200" s="47"/>
      <c r="E200" s="47"/>
      <c r="F200" s="46"/>
      <c r="G200" s="46"/>
      <c r="H200" s="48"/>
      <c r="I200" s="49"/>
      <c r="J200" s="50" t="str">
        <f aca="false">IF(OR($D200="",$E200="",Lists!$AB200&lt;=Lists!$AA200),"",(Lists!$AB200-Lists!$AA200)/60)</f>
        <v/>
      </c>
      <c r="K200" s="51" t="str">
        <f aca="false">IF(COUNTA($B200:$E200)&lt;4,"",IF(Lists!$AB200&lt;=Lists!$AA200,"Check times",IF(COUNTIF(BookingDates,$B200)=0,"Outside range",IF(COUNTIF(RoomList,$C200)=0,"Unknown room",IF(SUMPRODUCT((BkRoom=$C200)*(BkDate=$B200)*(BkStartMin&lt;Lists!$AB200)*(BkEndMin&gt;Lists!$AA200))&gt;1,"Conflict","OK")))))</f>
        <v/>
      </c>
      <c r="L200" s="52" t="str">
        <f aca="false">IF(OR($C200="",$H200="",Lists!$Z200=""),"",IF($H200&gt;Lists!$Z200,"Over capacity",IF(AND($H200*2&lt;=Lists!$Z200,Lists!$Z200-$H200&gt;=4),"Oversized room","Good fit")))</f>
        <v/>
      </c>
    </row>
    <row r="201" customFormat="false" ht="16.5" hidden="false" customHeight="true" outlineLevel="0" collapsed="false">
      <c r="A201" s="44" t="n">
        <v>193</v>
      </c>
      <c r="B201" s="45"/>
      <c r="C201" s="46"/>
      <c r="D201" s="47"/>
      <c r="E201" s="47"/>
      <c r="F201" s="46"/>
      <c r="G201" s="46"/>
      <c r="H201" s="48"/>
      <c r="I201" s="49"/>
      <c r="J201" s="50" t="str">
        <f aca="false">IF(OR($D201="",$E201="",Lists!$AB201&lt;=Lists!$AA201),"",(Lists!$AB201-Lists!$AA201)/60)</f>
        <v/>
      </c>
      <c r="K201" s="51" t="str">
        <f aca="false">IF(COUNTA($B201:$E201)&lt;4,"",IF(Lists!$AB201&lt;=Lists!$AA201,"Check times",IF(COUNTIF(BookingDates,$B201)=0,"Outside range",IF(COUNTIF(RoomList,$C201)=0,"Unknown room",IF(SUMPRODUCT((BkRoom=$C201)*(BkDate=$B201)*(BkStartMin&lt;Lists!$AB201)*(BkEndMin&gt;Lists!$AA201))&gt;1,"Conflict","OK")))))</f>
        <v/>
      </c>
      <c r="L201" s="52" t="str">
        <f aca="false">IF(OR($C201="",$H201="",Lists!$Z201=""),"",IF($H201&gt;Lists!$Z201,"Over capacity",IF(AND($H201*2&lt;=Lists!$Z201,Lists!$Z201-$H201&gt;=4),"Oversized room","Good fit")))</f>
        <v/>
      </c>
    </row>
    <row r="202" customFormat="false" ht="16.5" hidden="false" customHeight="true" outlineLevel="0" collapsed="false">
      <c r="A202" s="44" t="n">
        <v>194</v>
      </c>
      <c r="B202" s="45"/>
      <c r="C202" s="46"/>
      <c r="D202" s="47"/>
      <c r="E202" s="47"/>
      <c r="F202" s="46"/>
      <c r="G202" s="46"/>
      <c r="H202" s="48"/>
      <c r="I202" s="49"/>
      <c r="J202" s="50" t="str">
        <f aca="false">IF(OR($D202="",$E202="",Lists!$AB202&lt;=Lists!$AA202),"",(Lists!$AB202-Lists!$AA202)/60)</f>
        <v/>
      </c>
      <c r="K202" s="51" t="str">
        <f aca="false">IF(COUNTA($B202:$E202)&lt;4,"",IF(Lists!$AB202&lt;=Lists!$AA202,"Check times",IF(COUNTIF(BookingDates,$B202)=0,"Outside range",IF(COUNTIF(RoomList,$C202)=0,"Unknown room",IF(SUMPRODUCT((BkRoom=$C202)*(BkDate=$B202)*(BkStartMin&lt;Lists!$AB202)*(BkEndMin&gt;Lists!$AA202))&gt;1,"Conflict","OK")))))</f>
        <v/>
      </c>
      <c r="L202" s="52" t="str">
        <f aca="false">IF(OR($C202="",$H202="",Lists!$Z202=""),"",IF($H202&gt;Lists!$Z202,"Over capacity",IF(AND($H202*2&lt;=Lists!$Z202,Lists!$Z202-$H202&gt;=4),"Oversized room","Good fit")))</f>
        <v/>
      </c>
    </row>
    <row r="203" customFormat="false" ht="16.5" hidden="false" customHeight="true" outlineLevel="0" collapsed="false">
      <c r="A203" s="44" t="n">
        <v>195</v>
      </c>
      <c r="B203" s="45"/>
      <c r="C203" s="46"/>
      <c r="D203" s="47"/>
      <c r="E203" s="47"/>
      <c r="F203" s="46"/>
      <c r="G203" s="46"/>
      <c r="H203" s="48"/>
      <c r="I203" s="49"/>
      <c r="J203" s="50" t="str">
        <f aca="false">IF(OR($D203="",$E203="",Lists!$AB203&lt;=Lists!$AA203),"",(Lists!$AB203-Lists!$AA203)/60)</f>
        <v/>
      </c>
      <c r="K203" s="51" t="str">
        <f aca="false">IF(COUNTA($B203:$E203)&lt;4,"",IF(Lists!$AB203&lt;=Lists!$AA203,"Check times",IF(COUNTIF(BookingDates,$B203)=0,"Outside range",IF(COUNTIF(RoomList,$C203)=0,"Unknown room",IF(SUMPRODUCT((BkRoom=$C203)*(BkDate=$B203)*(BkStartMin&lt;Lists!$AB203)*(BkEndMin&gt;Lists!$AA203))&gt;1,"Conflict","OK")))))</f>
        <v/>
      </c>
      <c r="L203" s="52" t="str">
        <f aca="false">IF(OR($C203="",$H203="",Lists!$Z203=""),"",IF($H203&gt;Lists!$Z203,"Over capacity",IF(AND($H203*2&lt;=Lists!$Z203,Lists!$Z203-$H203&gt;=4),"Oversized room","Good fit")))</f>
        <v/>
      </c>
    </row>
    <row r="204" customFormat="false" ht="16.5" hidden="false" customHeight="true" outlineLevel="0" collapsed="false">
      <c r="A204" s="44" t="n">
        <v>196</v>
      </c>
      <c r="B204" s="45"/>
      <c r="C204" s="46"/>
      <c r="D204" s="47"/>
      <c r="E204" s="47"/>
      <c r="F204" s="46"/>
      <c r="G204" s="46"/>
      <c r="H204" s="48"/>
      <c r="I204" s="49"/>
      <c r="J204" s="50" t="str">
        <f aca="false">IF(OR($D204="",$E204="",Lists!$AB204&lt;=Lists!$AA204),"",(Lists!$AB204-Lists!$AA204)/60)</f>
        <v/>
      </c>
      <c r="K204" s="51" t="str">
        <f aca="false">IF(COUNTA($B204:$E204)&lt;4,"",IF(Lists!$AB204&lt;=Lists!$AA204,"Check times",IF(COUNTIF(BookingDates,$B204)=0,"Outside range",IF(COUNTIF(RoomList,$C204)=0,"Unknown room",IF(SUMPRODUCT((BkRoom=$C204)*(BkDate=$B204)*(BkStartMin&lt;Lists!$AB204)*(BkEndMin&gt;Lists!$AA204))&gt;1,"Conflict","OK")))))</f>
        <v/>
      </c>
      <c r="L204" s="52" t="str">
        <f aca="false">IF(OR($C204="",$H204="",Lists!$Z204=""),"",IF($H204&gt;Lists!$Z204,"Over capacity",IF(AND($H204*2&lt;=Lists!$Z204,Lists!$Z204-$H204&gt;=4),"Oversized room","Good fit")))</f>
        <v/>
      </c>
    </row>
    <row r="205" customFormat="false" ht="16.5" hidden="false" customHeight="true" outlineLevel="0" collapsed="false">
      <c r="A205" s="44" t="n">
        <v>197</v>
      </c>
      <c r="B205" s="45"/>
      <c r="C205" s="46"/>
      <c r="D205" s="47"/>
      <c r="E205" s="47"/>
      <c r="F205" s="46"/>
      <c r="G205" s="46"/>
      <c r="H205" s="48"/>
      <c r="I205" s="49"/>
      <c r="J205" s="50" t="str">
        <f aca="false">IF(OR($D205="",$E205="",Lists!$AB205&lt;=Lists!$AA205),"",(Lists!$AB205-Lists!$AA205)/60)</f>
        <v/>
      </c>
      <c r="K205" s="51" t="str">
        <f aca="false">IF(COUNTA($B205:$E205)&lt;4,"",IF(Lists!$AB205&lt;=Lists!$AA205,"Check times",IF(COUNTIF(BookingDates,$B205)=0,"Outside range",IF(COUNTIF(RoomList,$C205)=0,"Unknown room",IF(SUMPRODUCT((BkRoom=$C205)*(BkDate=$B205)*(BkStartMin&lt;Lists!$AB205)*(BkEndMin&gt;Lists!$AA205))&gt;1,"Conflict","OK")))))</f>
        <v/>
      </c>
      <c r="L205" s="52" t="str">
        <f aca="false">IF(OR($C205="",$H205="",Lists!$Z205=""),"",IF($H205&gt;Lists!$Z205,"Over capacity",IF(AND($H205*2&lt;=Lists!$Z205,Lists!$Z205-$H205&gt;=4),"Oversized room","Good fit")))</f>
        <v/>
      </c>
    </row>
    <row r="206" customFormat="false" ht="16.5" hidden="false" customHeight="true" outlineLevel="0" collapsed="false">
      <c r="A206" s="44" t="n">
        <v>198</v>
      </c>
      <c r="B206" s="45"/>
      <c r="C206" s="46"/>
      <c r="D206" s="47"/>
      <c r="E206" s="47"/>
      <c r="F206" s="46"/>
      <c r="G206" s="46"/>
      <c r="H206" s="48"/>
      <c r="I206" s="49"/>
      <c r="J206" s="50" t="str">
        <f aca="false">IF(OR($D206="",$E206="",Lists!$AB206&lt;=Lists!$AA206),"",(Lists!$AB206-Lists!$AA206)/60)</f>
        <v/>
      </c>
      <c r="K206" s="51" t="str">
        <f aca="false">IF(COUNTA($B206:$E206)&lt;4,"",IF(Lists!$AB206&lt;=Lists!$AA206,"Check times",IF(COUNTIF(BookingDates,$B206)=0,"Outside range",IF(COUNTIF(RoomList,$C206)=0,"Unknown room",IF(SUMPRODUCT((BkRoom=$C206)*(BkDate=$B206)*(BkStartMin&lt;Lists!$AB206)*(BkEndMin&gt;Lists!$AA206))&gt;1,"Conflict","OK")))))</f>
        <v/>
      </c>
      <c r="L206" s="52" t="str">
        <f aca="false">IF(OR($C206="",$H206="",Lists!$Z206=""),"",IF($H206&gt;Lists!$Z206,"Over capacity",IF(AND($H206*2&lt;=Lists!$Z206,Lists!$Z206-$H206&gt;=4),"Oversized room","Good fit")))</f>
        <v/>
      </c>
    </row>
    <row r="207" customFormat="false" ht="16.5" hidden="false" customHeight="true" outlineLevel="0" collapsed="false">
      <c r="A207" s="44" t="n">
        <v>199</v>
      </c>
      <c r="B207" s="45"/>
      <c r="C207" s="46"/>
      <c r="D207" s="47"/>
      <c r="E207" s="47"/>
      <c r="F207" s="46"/>
      <c r="G207" s="46"/>
      <c r="H207" s="48"/>
      <c r="I207" s="49"/>
      <c r="J207" s="50" t="str">
        <f aca="false">IF(OR($D207="",$E207="",Lists!$AB207&lt;=Lists!$AA207),"",(Lists!$AB207-Lists!$AA207)/60)</f>
        <v/>
      </c>
      <c r="K207" s="51" t="str">
        <f aca="false">IF(COUNTA($B207:$E207)&lt;4,"",IF(Lists!$AB207&lt;=Lists!$AA207,"Check times",IF(COUNTIF(BookingDates,$B207)=0,"Outside range",IF(COUNTIF(RoomList,$C207)=0,"Unknown room",IF(SUMPRODUCT((BkRoom=$C207)*(BkDate=$B207)*(BkStartMin&lt;Lists!$AB207)*(BkEndMin&gt;Lists!$AA207))&gt;1,"Conflict","OK")))))</f>
        <v/>
      </c>
      <c r="L207" s="52" t="str">
        <f aca="false">IF(OR($C207="",$H207="",Lists!$Z207=""),"",IF($H207&gt;Lists!$Z207,"Over capacity",IF(AND($H207*2&lt;=Lists!$Z207,Lists!$Z207-$H207&gt;=4),"Oversized room","Good fit")))</f>
        <v/>
      </c>
    </row>
    <row r="208" customFormat="false" ht="16.5" hidden="false" customHeight="true" outlineLevel="0" collapsed="false">
      <c r="A208" s="44" t="n">
        <v>200</v>
      </c>
      <c r="B208" s="45"/>
      <c r="C208" s="46"/>
      <c r="D208" s="47"/>
      <c r="E208" s="47"/>
      <c r="F208" s="46"/>
      <c r="G208" s="46"/>
      <c r="H208" s="48"/>
      <c r="I208" s="49"/>
      <c r="J208" s="50" t="str">
        <f aca="false">IF(OR($D208="",$E208="",Lists!$AB208&lt;=Lists!$AA208),"",(Lists!$AB208-Lists!$AA208)/60)</f>
        <v/>
      </c>
      <c r="K208" s="51" t="str">
        <f aca="false">IF(COUNTA($B208:$E208)&lt;4,"",IF(Lists!$AB208&lt;=Lists!$AA208,"Check times",IF(COUNTIF(BookingDates,$B208)=0,"Outside range",IF(COUNTIF(RoomList,$C208)=0,"Unknown room",IF(SUMPRODUCT((BkRoom=$C208)*(BkDate=$B208)*(BkStartMin&lt;Lists!$AB208)*(BkEndMin&gt;Lists!$AA208))&gt;1,"Conflict","OK")))))</f>
        <v/>
      </c>
      <c r="L208" s="52" t="str">
        <f aca="false">IF(OR($C208="",$H208="",Lists!$Z208=""),"",IF($H208&gt;Lists!$Z208,"Over capacity",IF(AND($H208*2&lt;=Lists!$Z208,Lists!$Z208-$H208&gt;=4),"Oversized room","Good fit")))</f>
        <v/>
      </c>
    </row>
    <row r="210" customFormat="false" ht="15.75" hidden="false" customHeight="true" outlineLevel="0" collapsed="false">
      <c r="A210" s="17" t="s">
        <v>150</v>
      </c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</row>
    <row r="211" customFormat="false" ht="15.75" hidden="false" customHeight="true" outlineLevel="0" collapsed="false">
      <c r="A211" s="17" t="s">
        <v>151</v>
      </c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</row>
    <row r="212" customFormat="false" ht="15.75" hidden="false" customHeight="true" outlineLevel="0" collapsed="false">
      <c r="A212" s="17" t="s">
        <v>152</v>
      </c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</row>
    <row r="213" customFormat="false" ht="15.75" hidden="false" customHeight="true" outlineLevel="0" collapsed="false">
      <c r="A213" s="17" t="s">
        <v>153</v>
      </c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</row>
  </sheetData>
  <mergeCells count="21">
    <mergeCell ref="A1:G1"/>
    <mergeCell ref="H1:L1"/>
    <mergeCell ref="A2:G2"/>
    <mergeCell ref="H2:L2"/>
    <mergeCell ref="A4:B4"/>
    <mergeCell ref="C4:D4"/>
    <mergeCell ref="E4:F4"/>
    <mergeCell ref="G4:H4"/>
    <mergeCell ref="I4:J4"/>
    <mergeCell ref="K4:L4"/>
    <mergeCell ref="A5:B5"/>
    <mergeCell ref="C5:D5"/>
    <mergeCell ref="E5:F5"/>
    <mergeCell ref="G5:H5"/>
    <mergeCell ref="I5:J5"/>
    <mergeCell ref="K5:L5"/>
    <mergeCell ref="A7:L7"/>
    <mergeCell ref="A210:L210"/>
    <mergeCell ref="A211:L211"/>
    <mergeCell ref="A212:L212"/>
    <mergeCell ref="A213:L213"/>
  </mergeCells>
  <conditionalFormatting sqref="K9:K208">
    <cfRule type="expression" priority="2" aboveAverage="0" equalAverage="0" bottom="0" percent="0" rank="0" text="" dxfId="0">
      <formula>$K9="Conflict"</formula>
    </cfRule>
    <cfRule type="expression" priority="3" aboveAverage="0" equalAverage="0" bottom="0" percent="0" rank="0" text="" dxfId="1">
      <formula>OR($K9="Check times",$K9="Outside range",$K9="Unknown room")</formula>
    </cfRule>
    <cfRule type="expression" priority="4" aboveAverage="0" equalAverage="0" bottom="0" percent="0" rank="0" text="" dxfId="2">
      <formula>$K9="OK"</formula>
    </cfRule>
  </conditionalFormatting>
  <conditionalFormatting sqref="L9:L208">
    <cfRule type="expression" priority="5" aboveAverage="0" equalAverage="0" bottom="0" percent="0" rank="0" text="" dxfId="0">
      <formula>$L9="Over capacity"</formula>
    </cfRule>
    <cfRule type="expression" priority="6" aboveAverage="0" equalAverage="0" bottom="0" percent="0" rank="0" text="" dxfId="3">
      <formula>$L9="Oversized room"</formula>
    </cfRule>
    <cfRule type="expression" priority="7" aboveAverage="0" equalAverage="0" bottom="0" percent="0" rank="0" text="" dxfId="2">
      <formula>$L9="Good fit"</formula>
    </cfRule>
  </conditionalFormatting>
  <conditionalFormatting sqref="B9:I208">
    <cfRule type="expression" priority="8" aboveAverage="0" equalAverage="0" bottom="0" percent="0" rank="0" text="" dxfId="4">
      <formula>$K9="Conflict"</formula>
    </cfRule>
  </conditionalFormatting>
  <dataValidations count="4">
    <dataValidation allowBlank="true" errorStyle="stop" operator="between" showDropDown="false" showErrorMessage="false" showInputMessage="false" sqref="B9:B208" type="list">
      <formula1>Lists!$B$2:$K$2</formula1>
      <formula2>0</formula2>
    </dataValidation>
    <dataValidation allowBlank="true" errorStyle="stop" operator="between" showDropDown="false" showErrorMessage="false" showInputMessage="false" sqref="C9:C208" type="list">
      <formula1>Setup!$C$16:$C$27</formula1>
      <formula2>0</formula2>
    </dataValidation>
    <dataValidation allowBlank="true" errorStyle="stop" operator="between" showDropDown="false" showErrorMessage="false" showInputMessage="false" sqref="F9:F208" type="list">
      <formula1>Setup!$I$16:$I$45</formula1>
      <formula2>0</formula2>
    </dataValidation>
    <dataValidation allowBlank="true" errorStyle="stop" operator="between" showDropDown="false" showErrorMessage="false" showInputMessage="false" sqref="I9:I208" type="list">
      <formula1>"Yes,No-show"</formula1>
      <formula2>0</formula2>
    </dataValidation>
  </dataValidations>
  <hyperlinks>
    <hyperlink ref="H1" r:id="rId1" display="Book a live demo  →  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7A2F"/>
    <pageSetUpPr fitToPage="false"/>
  </sheetPr>
  <dimension ref="B1:N3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3" topLeftCell="A1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5"/>
    <col collapsed="false" customWidth="true" hidden="false" outlineLevel="0" max="2" min="2" style="0" width="10"/>
    <col collapsed="false" customWidth="true" hidden="false" outlineLevel="0" max="14" min="3" style="0" width="14"/>
    <col collapsed="false" customWidth="true" hidden="false" outlineLevel="0" max="15" min="15" style="0" width="3"/>
  </cols>
  <sheetData>
    <row r="1" customFormat="false" ht="21.75" hidden="false" customHeight="true" outlineLevel="0" collapsed="false">
      <c r="B1" s="34" t="s">
        <v>154</v>
      </c>
      <c r="C1" s="34"/>
      <c r="D1" s="34"/>
      <c r="E1" s="34"/>
      <c r="F1" s="34"/>
      <c r="G1" s="34"/>
      <c r="H1" s="34"/>
      <c r="I1" s="35" t="s">
        <v>112</v>
      </c>
      <c r="J1" s="35"/>
      <c r="K1" s="35"/>
      <c r="L1" s="35"/>
      <c r="M1" s="35"/>
      <c r="N1" s="35"/>
    </row>
    <row r="2" customFormat="false" ht="9.75" hidden="false" customHeight="true" outlineLevel="0" collapsed="false"/>
    <row r="3" customFormat="false" ht="27.75" hidden="false" customHeight="true" outlineLevel="0" collapsed="false">
      <c r="B3" s="53" t="str">
        <f aca="false">"        "&amp;CompanyName&amp;" — Room Board"</f>
        <v>        Acme Corp — Room Board</v>
      </c>
      <c r="C3" s="53"/>
      <c r="D3" s="53"/>
      <c r="E3" s="53"/>
      <c r="F3" s="53"/>
      <c r="G3" s="53"/>
      <c r="I3" s="54" t="str">
        <f aca="true">"Today is "&amp;TEXT(TODAY(),"ddd, d mmm yyyy")&amp;"  "</f>
        <v>Today is Fri, 7 Aug 2026  </v>
      </c>
      <c r="J3" s="54"/>
      <c r="K3" s="54"/>
      <c r="L3" s="54"/>
      <c r="M3" s="54"/>
      <c r="N3" s="54"/>
    </row>
    <row r="4" customFormat="false" ht="9.75" hidden="false" customHeight="true" outlineLevel="0" collapsed="false"/>
    <row r="5" customFormat="false" ht="24" hidden="false" customHeight="true" outlineLevel="0" collapsed="false">
      <c r="B5" s="55" t="s">
        <v>155</v>
      </c>
      <c r="C5" s="55"/>
      <c r="D5" s="56" t="n">
        <f aca="false">ScheduleStart</f>
        <v>46237</v>
      </c>
      <c r="E5" s="57" t="str">
        <f aca="false">IF(COUNTIF(BookingDates,SelDate)=0,"   ←  pick one of the 10 booking days","")</f>
        <v/>
      </c>
      <c r="F5" s="57"/>
      <c r="G5" s="57"/>
      <c r="H5" s="57"/>
    </row>
    <row r="6" customFormat="false" ht="9.75" hidden="false" customHeight="true" outlineLevel="0" collapsed="false"/>
    <row r="7" customFormat="false" ht="25.5" hidden="false" customHeight="true" outlineLevel="0" collapsed="false">
      <c r="B7" s="58" t="s">
        <v>156</v>
      </c>
      <c r="C7" s="58" t="s">
        <v>116</v>
      </c>
      <c r="D7" s="59" t="s">
        <v>157</v>
      </c>
      <c r="E7" s="58" t="s">
        <v>158</v>
      </c>
      <c r="F7" s="58" t="s">
        <v>159</v>
      </c>
      <c r="G7" s="58" t="s">
        <v>160</v>
      </c>
      <c r="H7" s="58" t="s">
        <v>118</v>
      </c>
    </row>
    <row r="8" customFormat="false" ht="34.5" hidden="false" customHeight="true" outlineLevel="0" collapsed="false">
      <c r="B8" s="60" t="n">
        <f aca="false">COUNTIF(BkDate,SelDate)</f>
        <v>12</v>
      </c>
      <c r="C8" s="61" t="n">
        <f aca="false">SUMIF(BkDate,SelDate,BkHours)</f>
        <v>8</v>
      </c>
      <c r="D8" s="62" t="n">
        <f aca="false">IF(TotalRooms*BookableHours=0,0,$C$8/(TotalRooms*BookableHours))</f>
        <v>0.166666666666667</v>
      </c>
      <c r="E8" s="60" t="n">
        <f aca="false">COUNTIF(Lists!$M$39:$X$39,"&gt;0")</f>
        <v>4</v>
      </c>
      <c r="F8" s="63" t="str">
        <f aca="false">IF(MAX(Lists!$M$39:$X$39)=0,"—",INDEX(RoomList,MATCH(MAX(Lists!$M$39:$X$39),Lists!$M$39:$X$39,0)))</f>
        <v>Fjord</v>
      </c>
      <c r="G8" s="60" t="n">
        <f aca="false">SUMIF(BkDate,SelDate,BkAtt)</f>
        <v>33</v>
      </c>
      <c r="H8" s="60" t="n">
        <f aca="false">COUNTIFS(BkDate,SelDate,BkStatus,"Conflict")</f>
        <v>0</v>
      </c>
    </row>
    <row r="9" customFormat="false" ht="7.5" hidden="false" customHeight="true" outlineLevel="0" collapsed="false"/>
    <row r="10" customFormat="false" ht="18" hidden="false" customHeight="true" outlineLevel="0" collapsed="false">
      <c r="B10" s="64" t="str">
        <f aca="false">IF(COUNTIF(BookingDates,SelDate)=0,"⚠  That date is outside your two booking weeks — pick one from the dropdown.",IF($H$8&gt;0,"⚠  "&amp;$H$8&amp;" clash(es) today — two meetings want the same room at the same time. The red cells below show where.",IF($B$8=0,"No meetings booked on this day yet.","✓  "&amp;$B$8&amp;" meeting(s) in "&amp;$E$8&amp;" room(s), using "&amp;TEXT($D$8,"0%")&amp;" of the bookable hours on this day.")))</f>
        <v>✓  12 meeting(s) in 4 room(s), using 17% of the bookable hours on this day.</v>
      </c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</row>
    <row r="11" customFormat="false" ht="9.75" hidden="false" customHeight="true" outlineLevel="0" collapsed="false"/>
    <row r="12" customFormat="false" ht="21.75" hidden="false" customHeight="true" outlineLevel="0" collapsed="false">
      <c r="B12" s="5" t="s">
        <v>161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customFormat="false" ht="28.5" hidden="false" customHeight="true" outlineLevel="0" collapsed="false">
      <c r="B13" s="28" t="s">
        <v>162</v>
      </c>
      <c r="C13" s="65" t="str">
        <f aca="false">IF(Setup!$C$16="","",Setup!$C$16&amp;IF(Setup!$E$16="","",CHAR(10)&amp;Setup!$E$16&amp;" seats"))</f>
        <v>Aurora
12 seats</v>
      </c>
      <c r="D13" s="65" t="str">
        <f aca="false">IF(Setup!$C$17="","",Setup!$C$17&amp;IF(Setup!$E$17="","",CHAR(10)&amp;Setup!$E$17&amp;" seats"))</f>
        <v>Borealis
8 seats</v>
      </c>
      <c r="E13" s="65" t="str">
        <f aca="false">IF(Setup!$C$18="","",Setup!$C$18&amp;IF(Setup!$E$18="","",CHAR(10)&amp;Setup!$E$18&amp;" seats"))</f>
        <v>Cirrus
6 seats</v>
      </c>
      <c r="F13" s="65" t="str">
        <f aca="false">IF(Setup!$C$19="","",Setup!$C$19&amp;IF(Setup!$E$19="","",CHAR(10)&amp;Setup!$E$19&amp;" seats"))</f>
        <v>Delta
4 seats</v>
      </c>
      <c r="G13" s="65" t="str">
        <f aca="false">IF(Setup!$C$20="","",Setup!$C$20&amp;IF(Setup!$E$20="","",CHAR(10)&amp;Setup!$E$20&amp;" seats"))</f>
        <v>Everest
14 seats</v>
      </c>
      <c r="H13" s="65" t="str">
        <f aca="false">IF(Setup!$C$21="","",Setup!$C$21&amp;IF(Setup!$E$21="","",CHAR(10)&amp;Setup!$E$21&amp;" seats"))</f>
        <v>Fjord
2 seats</v>
      </c>
      <c r="I13" s="65" t="str">
        <f aca="false">IF(Setup!$C$22="","",Setup!$C$22&amp;IF(Setup!$E$22="","",CHAR(10)&amp;Setup!$E$22&amp;" seats"))</f>
        <v/>
      </c>
      <c r="J13" s="65" t="str">
        <f aca="false">IF(Setup!$C$23="","",Setup!$C$23&amp;IF(Setup!$E$23="","",CHAR(10)&amp;Setup!$E$23&amp;" seats"))</f>
        <v/>
      </c>
      <c r="K13" s="65" t="str">
        <f aca="false">IF(Setup!$C$24="","",Setup!$C$24&amp;IF(Setup!$E$24="","",CHAR(10)&amp;Setup!$E$24&amp;" seats"))</f>
        <v/>
      </c>
      <c r="L13" s="65" t="str">
        <f aca="false">IF(Setup!$C$25="","",Setup!$C$25&amp;IF(Setup!$E$25="","",CHAR(10)&amp;Setup!$E$25&amp;" seats"))</f>
        <v/>
      </c>
      <c r="M13" s="65" t="str">
        <f aca="false">IF(Setup!$C$26="","",Setup!$C$26&amp;IF(Setup!$E$26="","",CHAR(10)&amp;Setup!$E$26&amp;" seats"))</f>
        <v/>
      </c>
      <c r="N13" s="65" t="str">
        <f aca="false">IF(Setup!$C$27="","",Setup!$C$27&amp;IF(Setup!$E$27="","",CHAR(10)&amp;Setup!$E$27&amp;" seats"))</f>
        <v/>
      </c>
    </row>
    <row r="14" customFormat="false" ht="18.75" hidden="false" customHeight="true" outlineLevel="0" collapsed="false">
      <c r="B14" s="66" t="n">
        <f aca="false">Lists!$A$3</f>
        <v>0.375</v>
      </c>
      <c r="C14" s="67" t="str">
        <f aca="false">IF(Lists!$M$21=0,"",IF(Lists!$M$21&gt;1,"⚠ Double-booked",INDEX(Bookings!$F:$F,Lists!$M$3)))</f>
        <v/>
      </c>
      <c r="D14" s="67" t="str">
        <f aca="false">IF(Lists!$N$21=0,"",IF(Lists!$N$21&gt;1,"⚠ Double-booked",INDEX(Bookings!$F:$F,Lists!$N$3)))</f>
        <v/>
      </c>
      <c r="E14" s="67" t="str">
        <f aca="false">IF(Lists!$O$21=0,"",IF(Lists!$O$21&gt;1,"⚠ Double-booked",INDEX(Bookings!$F:$F,Lists!$O$3)))</f>
        <v/>
      </c>
      <c r="F14" s="67" t="str">
        <f aca="false">IF(Lists!$P$21=0,"",IF(Lists!$P$21&gt;1,"⚠ Double-booked",INDEX(Bookings!$F:$F,Lists!$P$3)))</f>
        <v/>
      </c>
      <c r="G14" s="67" t="str">
        <f aca="false">IF(Lists!$Q$21=0,"",IF(Lists!$Q$21&gt;1,"⚠ Double-booked",INDEX(Bookings!$F:$F,Lists!$Q$3)))</f>
        <v>Chloe Dubois</v>
      </c>
      <c r="H14" s="67" t="str">
        <f aca="false">IF(Lists!$R$21=0,"",IF(Lists!$R$21&gt;1,"⚠ Double-booked",INDEX(Bookings!$F:$F,Lists!$R$3)))</f>
        <v>Noah Bennett</v>
      </c>
      <c r="I14" s="67" t="str">
        <f aca="false">IF(Lists!$S$21=0,"",IF(Lists!$S$21&gt;1,"⚠ Double-booked",INDEX(Bookings!$F:$F,Lists!$S$3)))</f>
        <v/>
      </c>
      <c r="J14" s="67" t="str">
        <f aca="false">IF(Lists!$T$21=0,"",IF(Lists!$T$21&gt;1,"⚠ Double-booked",INDEX(Bookings!$F:$F,Lists!$T$3)))</f>
        <v/>
      </c>
      <c r="K14" s="67" t="str">
        <f aca="false">IF(Lists!$U$21=0,"",IF(Lists!$U$21&gt;1,"⚠ Double-booked",INDEX(Bookings!$F:$F,Lists!$U$3)))</f>
        <v/>
      </c>
      <c r="L14" s="67" t="str">
        <f aca="false">IF(Lists!$V$21=0,"",IF(Lists!$V$21&gt;1,"⚠ Double-booked",INDEX(Bookings!$F:$F,Lists!$V$3)))</f>
        <v/>
      </c>
      <c r="M14" s="67" t="str">
        <f aca="false">IF(Lists!$W$21=0,"",IF(Lists!$W$21&gt;1,"⚠ Double-booked",INDEX(Bookings!$F:$F,Lists!$W$3)))</f>
        <v/>
      </c>
      <c r="N14" s="67" t="str">
        <f aca="false">IF(Lists!$X$21=0,"",IF(Lists!$X$21&gt;1,"⚠ Double-booked",INDEX(Bookings!$F:$F,Lists!$X$3)))</f>
        <v/>
      </c>
    </row>
    <row r="15" customFormat="false" ht="18.75" hidden="false" customHeight="true" outlineLevel="0" collapsed="false">
      <c r="B15" s="66" t="n">
        <f aca="false">Lists!$A$4</f>
        <v>0.395833333333333</v>
      </c>
      <c r="C15" s="67" t="str">
        <f aca="false">IF(Lists!$M$22=0,"",IF(Lists!$M$22&gt;1,"⚠ Double-booked",INDEX(Bookings!$F:$F,Lists!$M$4)))</f>
        <v/>
      </c>
      <c r="D15" s="67" t="str">
        <f aca="false">IF(Lists!$N$22=0,"",IF(Lists!$N$22&gt;1,"⚠ Double-booked",INDEX(Bookings!$F:$F,Lists!$N$4)))</f>
        <v/>
      </c>
      <c r="E15" s="67" t="str">
        <f aca="false">IF(Lists!$O$22=0,"",IF(Lists!$O$22&gt;1,"⚠ Double-booked",INDEX(Bookings!$F:$F,Lists!$O$4)))</f>
        <v/>
      </c>
      <c r="F15" s="67" t="str">
        <f aca="false">IF(Lists!$P$22=0,"",IF(Lists!$P$22&gt;1,"⚠ Double-booked",INDEX(Bookings!$F:$F,Lists!$P$4)))</f>
        <v/>
      </c>
      <c r="G15" s="67" t="str">
        <f aca="false">IF(Lists!$Q$22=0,"",IF(Lists!$Q$22&gt;1,"⚠ Double-booked",INDEX(Bookings!$F:$F,Lists!$Q$4)))</f>
        <v>Chloe Dubois</v>
      </c>
      <c r="H15" s="67" t="str">
        <f aca="false">IF(Lists!$R$22=0,"",IF(Lists!$R$22&gt;1,"⚠ Double-booked",INDEX(Bookings!$F:$F,Lists!$R$4)))</f>
        <v>Noah Bennett</v>
      </c>
      <c r="I15" s="67" t="str">
        <f aca="false">IF(Lists!$S$22=0,"",IF(Lists!$S$22&gt;1,"⚠ Double-booked",INDEX(Bookings!$F:$F,Lists!$S$4)))</f>
        <v/>
      </c>
      <c r="J15" s="67" t="str">
        <f aca="false">IF(Lists!$T$22=0,"",IF(Lists!$T$22&gt;1,"⚠ Double-booked",INDEX(Bookings!$F:$F,Lists!$T$4)))</f>
        <v/>
      </c>
      <c r="K15" s="67" t="str">
        <f aca="false">IF(Lists!$U$22=0,"",IF(Lists!$U$22&gt;1,"⚠ Double-booked",INDEX(Bookings!$F:$F,Lists!$U$4)))</f>
        <v/>
      </c>
      <c r="L15" s="67" t="str">
        <f aca="false">IF(Lists!$V$22=0,"",IF(Lists!$V$22&gt;1,"⚠ Double-booked",INDEX(Bookings!$F:$F,Lists!$V$4)))</f>
        <v/>
      </c>
      <c r="M15" s="67" t="str">
        <f aca="false">IF(Lists!$W$22=0,"",IF(Lists!$W$22&gt;1,"⚠ Double-booked",INDEX(Bookings!$F:$F,Lists!$W$4)))</f>
        <v/>
      </c>
      <c r="N15" s="67" t="str">
        <f aca="false">IF(Lists!$X$22=0,"",IF(Lists!$X$22&gt;1,"⚠ Double-booked",INDEX(Bookings!$F:$F,Lists!$X$4)))</f>
        <v/>
      </c>
    </row>
    <row r="16" customFormat="false" ht="18.75" hidden="false" customHeight="true" outlineLevel="0" collapsed="false">
      <c r="B16" s="66" t="n">
        <f aca="false">Lists!$A$5</f>
        <v>0.416666666666667</v>
      </c>
      <c r="C16" s="67" t="str">
        <f aca="false">IF(Lists!$M$23=0,"",IF(Lists!$M$23&gt;1,"⚠ Double-booked",INDEX(Bookings!$F:$F,Lists!$M$5)))</f>
        <v/>
      </c>
      <c r="D16" s="67" t="str">
        <f aca="false">IF(Lists!$N$23=0,"",IF(Lists!$N$23&gt;1,"⚠ Double-booked",INDEX(Bookings!$F:$F,Lists!$N$5)))</f>
        <v/>
      </c>
      <c r="E16" s="67" t="str">
        <f aca="false">IF(Lists!$O$23=0,"",IF(Lists!$O$23&gt;1,"⚠ Double-booked",INDEX(Bookings!$F:$F,Lists!$O$5)))</f>
        <v/>
      </c>
      <c r="F16" s="67" t="str">
        <f aca="false">IF(Lists!$P$23=0,"",IF(Lists!$P$23&gt;1,"⚠ Double-booked",INDEX(Bookings!$F:$F,Lists!$P$5)))</f>
        <v/>
      </c>
      <c r="G16" s="67" t="str">
        <f aca="false">IF(Lists!$Q$23=0,"",IF(Lists!$Q$23&gt;1,"⚠ Double-booked",INDEX(Bookings!$F:$F,Lists!$Q$5)))</f>
        <v/>
      </c>
      <c r="H16" s="67" t="str">
        <f aca="false">IF(Lists!$R$23=0,"",IF(Lists!$R$23&gt;1,"⚠ Double-booked",INDEX(Bookings!$F:$F,Lists!$R$5)))</f>
        <v>Marcus Bell</v>
      </c>
      <c r="I16" s="67" t="str">
        <f aca="false">IF(Lists!$S$23=0,"",IF(Lists!$S$23&gt;1,"⚠ Double-booked",INDEX(Bookings!$F:$F,Lists!$S$5)))</f>
        <v/>
      </c>
      <c r="J16" s="67" t="str">
        <f aca="false">IF(Lists!$T$23=0,"",IF(Lists!$T$23&gt;1,"⚠ Double-booked",INDEX(Bookings!$F:$F,Lists!$T$5)))</f>
        <v/>
      </c>
      <c r="K16" s="67" t="str">
        <f aca="false">IF(Lists!$U$23=0,"",IF(Lists!$U$23&gt;1,"⚠ Double-booked",INDEX(Bookings!$F:$F,Lists!$U$5)))</f>
        <v/>
      </c>
      <c r="L16" s="67" t="str">
        <f aca="false">IF(Lists!$V$23=0,"",IF(Lists!$V$23&gt;1,"⚠ Double-booked",INDEX(Bookings!$F:$F,Lists!$V$5)))</f>
        <v/>
      </c>
      <c r="M16" s="67" t="str">
        <f aca="false">IF(Lists!$W$23=0,"",IF(Lists!$W$23&gt;1,"⚠ Double-booked",INDEX(Bookings!$F:$F,Lists!$W$5)))</f>
        <v/>
      </c>
      <c r="N16" s="67" t="str">
        <f aca="false">IF(Lists!$X$23=0,"",IF(Lists!$X$23&gt;1,"⚠ Double-booked",INDEX(Bookings!$F:$F,Lists!$X$5)))</f>
        <v/>
      </c>
    </row>
    <row r="17" customFormat="false" ht="18.75" hidden="false" customHeight="true" outlineLevel="0" collapsed="false">
      <c r="B17" s="66" t="n">
        <f aca="false">Lists!$A$6</f>
        <v>0.4375</v>
      </c>
      <c r="C17" s="67" t="str">
        <f aca="false">IF(Lists!$M$24=0,"",IF(Lists!$M$24&gt;1,"⚠ Double-booked",INDEX(Bookings!$F:$F,Lists!$M$6)))</f>
        <v/>
      </c>
      <c r="D17" s="67" t="str">
        <f aca="false">IF(Lists!$N$24=0,"",IF(Lists!$N$24&gt;1,"⚠ Double-booked",INDEX(Bookings!$F:$F,Lists!$N$6)))</f>
        <v>Felix Brandt</v>
      </c>
      <c r="E17" s="67" t="str">
        <f aca="false">IF(Lists!$O$24=0,"",IF(Lists!$O$24&gt;1,"⚠ Double-booked",INDEX(Bookings!$F:$F,Lists!$O$6)))</f>
        <v/>
      </c>
      <c r="F17" s="67" t="str">
        <f aca="false">IF(Lists!$P$24=0,"",IF(Lists!$P$24&gt;1,"⚠ Double-booked",INDEX(Bookings!$F:$F,Lists!$P$6)))</f>
        <v/>
      </c>
      <c r="G17" s="67" t="str">
        <f aca="false">IF(Lists!$Q$24=0,"",IF(Lists!$Q$24&gt;1,"⚠ Double-booked",INDEX(Bookings!$F:$F,Lists!$Q$6)))</f>
        <v>Ethan Clarke</v>
      </c>
      <c r="H17" s="67" t="str">
        <f aca="false">IF(Lists!$R$24=0,"",IF(Lists!$R$24&gt;1,"⚠ Double-booked",INDEX(Bookings!$F:$F,Lists!$R$6)))</f>
        <v>Yuki Tanaka</v>
      </c>
      <c r="I17" s="67" t="str">
        <f aca="false">IF(Lists!$S$24=0,"",IF(Lists!$S$24&gt;1,"⚠ Double-booked",INDEX(Bookings!$F:$F,Lists!$S$6)))</f>
        <v/>
      </c>
      <c r="J17" s="67" t="str">
        <f aca="false">IF(Lists!$T$24=0,"",IF(Lists!$T$24&gt;1,"⚠ Double-booked",INDEX(Bookings!$F:$F,Lists!$T$6)))</f>
        <v/>
      </c>
      <c r="K17" s="67" t="str">
        <f aca="false">IF(Lists!$U$24=0,"",IF(Lists!$U$24&gt;1,"⚠ Double-booked",INDEX(Bookings!$F:$F,Lists!$U$6)))</f>
        <v/>
      </c>
      <c r="L17" s="67" t="str">
        <f aca="false">IF(Lists!$V$24=0,"",IF(Lists!$V$24&gt;1,"⚠ Double-booked",INDEX(Bookings!$F:$F,Lists!$V$6)))</f>
        <v/>
      </c>
      <c r="M17" s="67" t="str">
        <f aca="false">IF(Lists!$W$24=0,"",IF(Lists!$W$24&gt;1,"⚠ Double-booked",INDEX(Bookings!$F:$F,Lists!$W$6)))</f>
        <v/>
      </c>
      <c r="N17" s="67" t="str">
        <f aca="false">IF(Lists!$X$24=0,"",IF(Lists!$X$24&gt;1,"⚠ Double-booked",INDEX(Bookings!$F:$F,Lists!$X$6)))</f>
        <v/>
      </c>
    </row>
    <row r="18" customFormat="false" ht="18.75" hidden="false" customHeight="true" outlineLevel="0" collapsed="false">
      <c r="B18" s="66" t="n">
        <f aca="false">Lists!$A$7</f>
        <v>0.458333333333333</v>
      </c>
      <c r="C18" s="67" t="str">
        <f aca="false">IF(Lists!$M$25=0,"",IF(Lists!$M$25&gt;1,"⚠ Double-booked",INDEX(Bookings!$F:$F,Lists!$M$7)))</f>
        <v/>
      </c>
      <c r="D18" s="67" t="str">
        <f aca="false">IF(Lists!$N$25=0,"",IF(Lists!$N$25&gt;1,"⚠ Double-booked",INDEX(Bookings!$F:$F,Lists!$N$7)))</f>
        <v>Felix Brandt</v>
      </c>
      <c r="E18" s="67" t="str">
        <f aca="false">IF(Lists!$O$25=0,"",IF(Lists!$O$25&gt;1,"⚠ Double-booked",INDEX(Bookings!$F:$F,Lists!$O$7)))</f>
        <v/>
      </c>
      <c r="F18" s="67" t="str">
        <f aca="false">IF(Lists!$P$25=0,"",IF(Lists!$P$25&gt;1,"⚠ Double-booked",INDEX(Bookings!$F:$F,Lists!$P$7)))</f>
        <v>Ethan Clarke</v>
      </c>
      <c r="G18" s="67" t="str">
        <f aca="false">IF(Lists!$Q$25=0,"",IF(Lists!$Q$25&gt;1,"⚠ Double-booked",INDEX(Bookings!$F:$F,Lists!$Q$7)))</f>
        <v/>
      </c>
      <c r="H18" s="67" t="str">
        <f aca="false">IF(Lists!$R$25=0,"",IF(Lists!$R$25&gt;1,"⚠ Double-booked",INDEX(Bookings!$F:$F,Lists!$R$7)))</f>
        <v/>
      </c>
      <c r="I18" s="67" t="str">
        <f aca="false">IF(Lists!$S$25=0,"",IF(Lists!$S$25&gt;1,"⚠ Double-booked",INDEX(Bookings!$F:$F,Lists!$S$7)))</f>
        <v/>
      </c>
      <c r="J18" s="67" t="str">
        <f aca="false">IF(Lists!$T$25=0,"",IF(Lists!$T$25&gt;1,"⚠ Double-booked",INDEX(Bookings!$F:$F,Lists!$T$7)))</f>
        <v/>
      </c>
      <c r="K18" s="67" t="str">
        <f aca="false">IF(Lists!$U$25=0,"",IF(Lists!$U$25&gt;1,"⚠ Double-booked",INDEX(Bookings!$F:$F,Lists!$U$7)))</f>
        <v/>
      </c>
      <c r="L18" s="67" t="str">
        <f aca="false">IF(Lists!$V$25=0,"",IF(Lists!$V$25&gt;1,"⚠ Double-booked",INDEX(Bookings!$F:$F,Lists!$V$7)))</f>
        <v/>
      </c>
      <c r="M18" s="67" t="str">
        <f aca="false">IF(Lists!$W$25=0,"",IF(Lists!$W$25&gt;1,"⚠ Double-booked",INDEX(Bookings!$F:$F,Lists!$W$7)))</f>
        <v/>
      </c>
      <c r="N18" s="67" t="str">
        <f aca="false">IF(Lists!$X$25=0,"",IF(Lists!$X$25&gt;1,"⚠ Double-booked",INDEX(Bookings!$F:$F,Lists!$X$7)))</f>
        <v/>
      </c>
    </row>
    <row r="19" customFormat="false" ht="18.75" hidden="false" customHeight="true" outlineLevel="0" collapsed="false">
      <c r="B19" s="66" t="n">
        <f aca="false">Lists!$A$8</f>
        <v>0.479166666666667</v>
      </c>
      <c r="C19" s="67" t="str">
        <f aca="false">IF(Lists!$M$26=0,"",IF(Lists!$M$26&gt;1,"⚠ Double-booked",INDEX(Bookings!$F:$F,Lists!$M$8)))</f>
        <v/>
      </c>
      <c r="D19" s="67" t="str">
        <f aca="false">IF(Lists!$N$26=0,"",IF(Lists!$N$26&gt;1,"⚠ Double-booked",INDEX(Bookings!$F:$F,Lists!$N$8)))</f>
        <v/>
      </c>
      <c r="E19" s="67" t="str">
        <f aca="false">IF(Lists!$O$26=0,"",IF(Lists!$O$26&gt;1,"⚠ Double-booked",INDEX(Bookings!$F:$F,Lists!$O$8)))</f>
        <v/>
      </c>
      <c r="F19" s="67" t="str">
        <f aca="false">IF(Lists!$P$26=0,"",IF(Lists!$P$26&gt;1,"⚠ Double-booked",INDEX(Bookings!$F:$F,Lists!$P$8)))</f>
        <v>Ethan Clarke</v>
      </c>
      <c r="G19" s="67" t="str">
        <f aca="false">IF(Lists!$Q$26=0,"",IF(Lists!$Q$26&gt;1,"⚠ Double-booked",INDEX(Bookings!$F:$F,Lists!$Q$8)))</f>
        <v/>
      </c>
      <c r="H19" s="67" t="str">
        <f aca="false">IF(Lists!$R$26=0,"",IF(Lists!$R$26&gt;1,"⚠ Double-booked",INDEX(Bookings!$F:$F,Lists!$R$8)))</f>
        <v/>
      </c>
      <c r="I19" s="67" t="str">
        <f aca="false">IF(Lists!$S$26=0,"",IF(Lists!$S$26&gt;1,"⚠ Double-booked",INDEX(Bookings!$F:$F,Lists!$S$8)))</f>
        <v/>
      </c>
      <c r="J19" s="67" t="str">
        <f aca="false">IF(Lists!$T$26=0,"",IF(Lists!$T$26&gt;1,"⚠ Double-booked",INDEX(Bookings!$F:$F,Lists!$T$8)))</f>
        <v/>
      </c>
      <c r="K19" s="67" t="str">
        <f aca="false">IF(Lists!$U$26=0,"",IF(Lists!$U$26&gt;1,"⚠ Double-booked",INDEX(Bookings!$F:$F,Lists!$U$8)))</f>
        <v/>
      </c>
      <c r="L19" s="67" t="str">
        <f aca="false">IF(Lists!$V$26=0,"",IF(Lists!$V$26&gt;1,"⚠ Double-booked",INDEX(Bookings!$F:$F,Lists!$V$8)))</f>
        <v/>
      </c>
      <c r="M19" s="67" t="str">
        <f aca="false">IF(Lists!$W$26=0,"",IF(Lists!$W$26&gt;1,"⚠ Double-booked",INDEX(Bookings!$F:$F,Lists!$W$8)))</f>
        <v/>
      </c>
      <c r="N19" s="67" t="str">
        <f aca="false">IF(Lists!$X$26=0,"",IF(Lists!$X$26&gt;1,"⚠ Double-booked",INDEX(Bookings!$F:$F,Lists!$X$8)))</f>
        <v/>
      </c>
    </row>
    <row r="20" customFormat="false" ht="18.75" hidden="false" customHeight="true" outlineLevel="0" collapsed="false">
      <c r="B20" s="66" t="n">
        <f aca="false">Lists!$A$9</f>
        <v>0.5</v>
      </c>
      <c r="C20" s="67" t="str">
        <f aca="false">IF(Lists!$M$27=0,"",IF(Lists!$M$27&gt;1,"⚠ Double-booked",INDEX(Bookings!$F:$F,Lists!$M$9)))</f>
        <v/>
      </c>
      <c r="D20" s="67" t="str">
        <f aca="false">IF(Lists!$N$27=0,"",IF(Lists!$N$27&gt;1,"⚠ Double-booked",INDEX(Bookings!$F:$F,Lists!$N$9)))</f>
        <v/>
      </c>
      <c r="E20" s="67" t="str">
        <f aca="false">IF(Lists!$O$27=0,"",IF(Lists!$O$27&gt;1,"⚠ Double-booked",INDEX(Bookings!$F:$F,Lists!$O$9)))</f>
        <v/>
      </c>
      <c r="F20" s="67" t="str">
        <f aca="false">IF(Lists!$P$27=0,"",IF(Lists!$P$27&gt;1,"⚠ Double-booked",INDEX(Bookings!$F:$F,Lists!$P$9)))</f>
        <v/>
      </c>
      <c r="G20" s="67" t="str">
        <f aca="false">IF(Lists!$Q$27=0,"",IF(Lists!$Q$27&gt;1,"⚠ Double-booked",INDEX(Bookings!$F:$F,Lists!$Q$9)))</f>
        <v/>
      </c>
      <c r="H20" s="67" t="str">
        <f aca="false">IF(Lists!$R$27=0,"",IF(Lists!$R$27&gt;1,"⚠ Double-booked",INDEX(Bookings!$F:$F,Lists!$R$9)))</f>
        <v>Tom Ashby</v>
      </c>
      <c r="I20" s="67" t="str">
        <f aca="false">IF(Lists!$S$27=0,"",IF(Lists!$S$27&gt;1,"⚠ Double-booked",INDEX(Bookings!$F:$F,Lists!$S$9)))</f>
        <v/>
      </c>
      <c r="J20" s="67" t="str">
        <f aca="false">IF(Lists!$T$27=0,"",IF(Lists!$T$27&gt;1,"⚠ Double-booked",INDEX(Bookings!$F:$F,Lists!$T$9)))</f>
        <v/>
      </c>
      <c r="K20" s="67" t="str">
        <f aca="false">IF(Lists!$U$27=0,"",IF(Lists!$U$27&gt;1,"⚠ Double-booked",INDEX(Bookings!$F:$F,Lists!$U$9)))</f>
        <v/>
      </c>
      <c r="L20" s="67" t="str">
        <f aca="false">IF(Lists!$V$27=0,"",IF(Lists!$V$27&gt;1,"⚠ Double-booked",INDEX(Bookings!$F:$F,Lists!$V$9)))</f>
        <v/>
      </c>
      <c r="M20" s="67" t="str">
        <f aca="false">IF(Lists!$W$27=0,"",IF(Lists!$W$27&gt;1,"⚠ Double-booked",INDEX(Bookings!$F:$F,Lists!$W$9)))</f>
        <v/>
      </c>
      <c r="N20" s="67" t="str">
        <f aca="false">IF(Lists!$X$27=0,"",IF(Lists!$X$27&gt;1,"⚠ Double-booked",INDEX(Bookings!$F:$F,Lists!$X$9)))</f>
        <v/>
      </c>
    </row>
    <row r="21" customFormat="false" ht="18.75" hidden="false" customHeight="true" outlineLevel="0" collapsed="false">
      <c r="B21" s="66" t="n">
        <f aca="false">Lists!$A$10</f>
        <v>0.520833333333333</v>
      </c>
      <c r="C21" s="67" t="str">
        <f aca="false">IF(Lists!$M$28=0,"",IF(Lists!$M$28&gt;1,"⚠ Double-booked",INDEX(Bookings!$F:$F,Lists!$M$10)))</f>
        <v/>
      </c>
      <c r="D21" s="67" t="str">
        <f aca="false">IF(Lists!$N$28=0,"",IF(Lists!$N$28&gt;1,"⚠ Double-booked",INDEX(Bookings!$F:$F,Lists!$N$10)))</f>
        <v/>
      </c>
      <c r="E21" s="67" t="str">
        <f aca="false">IF(Lists!$O$28=0,"",IF(Lists!$O$28&gt;1,"⚠ Double-booked",INDEX(Bookings!$F:$F,Lists!$O$10)))</f>
        <v/>
      </c>
      <c r="F21" s="67" t="str">
        <f aca="false">IF(Lists!$P$28=0,"",IF(Lists!$P$28&gt;1,"⚠ Double-booked",INDEX(Bookings!$F:$F,Lists!$P$10)))</f>
        <v/>
      </c>
      <c r="G21" s="67" t="str">
        <f aca="false">IF(Lists!$Q$28=0,"",IF(Lists!$Q$28&gt;1,"⚠ Double-booked",INDEX(Bookings!$F:$F,Lists!$Q$10)))</f>
        <v/>
      </c>
      <c r="H21" s="67" t="str">
        <f aca="false">IF(Lists!$R$28=0,"",IF(Lists!$R$28&gt;1,"⚠ Double-booked",INDEX(Bookings!$F:$F,Lists!$R$10)))</f>
        <v/>
      </c>
      <c r="I21" s="67" t="str">
        <f aca="false">IF(Lists!$S$28=0,"",IF(Lists!$S$28&gt;1,"⚠ Double-booked",INDEX(Bookings!$F:$F,Lists!$S$10)))</f>
        <v/>
      </c>
      <c r="J21" s="67" t="str">
        <f aca="false">IF(Lists!$T$28=0,"",IF(Lists!$T$28&gt;1,"⚠ Double-booked",INDEX(Bookings!$F:$F,Lists!$T$10)))</f>
        <v/>
      </c>
      <c r="K21" s="67" t="str">
        <f aca="false">IF(Lists!$U$28=0,"",IF(Lists!$U$28&gt;1,"⚠ Double-booked",INDEX(Bookings!$F:$F,Lists!$U$10)))</f>
        <v/>
      </c>
      <c r="L21" s="67" t="str">
        <f aca="false">IF(Lists!$V$28=0,"",IF(Lists!$V$28&gt;1,"⚠ Double-booked",INDEX(Bookings!$F:$F,Lists!$V$10)))</f>
        <v/>
      </c>
      <c r="M21" s="67" t="str">
        <f aca="false">IF(Lists!$W$28=0,"",IF(Lists!$W$28&gt;1,"⚠ Double-booked",INDEX(Bookings!$F:$F,Lists!$W$10)))</f>
        <v/>
      </c>
      <c r="N21" s="67" t="str">
        <f aca="false">IF(Lists!$X$28=0,"",IF(Lists!$X$28&gt;1,"⚠ Double-booked",INDEX(Bookings!$F:$F,Lists!$X$10)))</f>
        <v/>
      </c>
    </row>
    <row r="22" customFormat="false" ht="18.75" hidden="false" customHeight="true" outlineLevel="0" collapsed="false">
      <c r="B22" s="66" t="n">
        <f aca="false">Lists!$A$11</f>
        <v>0.541666666666667</v>
      </c>
      <c r="C22" s="67" t="str">
        <f aca="false">IF(Lists!$M$29=0,"",IF(Lists!$M$29&gt;1,"⚠ Double-booked",INDEX(Bookings!$F:$F,Lists!$M$11)))</f>
        <v/>
      </c>
      <c r="D22" s="67" t="str">
        <f aca="false">IF(Lists!$N$29=0,"",IF(Lists!$N$29&gt;1,"⚠ Double-booked",INDEX(Bookings!$F:$F,Lists!$N$11)))</f>
        <v/>
      </c>
      <c r="E22" s="67" t="str">
        <f aca="false">IF(Lists!$O$29=0,"",IF(Lists!$O$29&gt;1,"⚠ Double-booked",INDEX(Bookings!$F:$F,Lists!$O$11)))</f>
        <v/>
      </c>
      <c r="F22" s="67" t="str">
        <f aca="false">IF(Lists!$P$29=0,"",IF(Lists!$P$29&gt;1,"⚠ Double-booked",INDEX(Bookings!$F:$F,Lists!$P$11)))</f>
        <v/>
      </c>
      <c r="G22" s="67" t="str">
        <f aca="false">IF(Lists!$Q$29=0,"",IF(Lists!$Q$29&gt;1,"⚠ Double-booked",INDEX(Bookings!$F:$F,Lists!$Q$11)))</f>
        <v/>
      </c>
      <c r="H22" s="67" t="str">
        <f aca="false">IF(Lists!$R$29=0,"",IF(Lists!$R$29&gt;1,"⚠ Double-booked",INDEX(Bookings!$F:$F,Lists!$R$11)))</f>
        <v/>
      </c>
      <c r="I22" s="67" t="str">
        <f aca="false">IF(Lists!$S$29=0,"",IF(Lists!$S$29&gt;1,"⚠ Double-booked",INDEX(Bookings!$F:$F,Lists!$S$11)))</f>
        <v/>
      </c>
      <c r="J22" s="67" t="str">
        <f aca="false">IF(Lists!$T$29=0,"",IF(Lists!$T$29&gt;1,"⚠ Double-booked",INDEX(Bookings!$F:$F,Lists!$T$11)))</f>
        <v/>
      </c>
      <c r="K22" s="67" t="str">
        <f aca="false">IF(Lists!$U$29=0,"",IF(Lists!$U$29&gt;1,"⚠ Double-booked",INDEX(Bookings!$F:$F,Lists!$U$11)))</f>
        <v/>
      </c>
      <c r="L22" s="67" t="str">
        <f aca="false">IF(Lists!$V$29=0,"",IF(Lists!$V$29&gt;1,"⚠ Double-booked",INDEX(Bookings!$F:$F,Lists!$V$11)))</f>
        <v/>
      </c>
      <c r="M22" s="67" t="str">
        <f aca="false">IF(Lists!$W$29=0,"",IF(Lists!$W$29&gt;1,"⚠ Double-booked",INDEX(Bookings!$F:$F,Lists!$W$11)))</f>
        <v/>
      </c>
      <c r="N22" s="67" t="str">
        <f aca="false">IF(Lists!$X$29=0,"",IF(Lists!$X$29&gt;1,"⚠ Double-booked",INDEX(Bookings!$F:$F,Lists!$X$11)))</f>
        <v/>
      </c>
    </row>
    <row r="23" customFormat="false" ht="18.75" hidden="false" customHeight="true" outlineLevel="0" collapsed="false">
      <c r="B23" s="66" t="n">
        <f aca="false">Lists!$A$12</f>
        <v>0.5625</v>
      </c>
      <c r="C23" s="67" t="str">
        <f aca="false">IF(Lists!$M$30=0,"",IF(Lists!$M$30&gt;1,"⚠ Double-booked",INDEX(Bookings!$F:$F,Lists!$M$12)))</f>
        <v/>
      </c>
      <c r="D23" s="67" t="str">
        <f aca="false">IF(Lists!$N$30=0,"",IF(Lists!$N$30&gt;1,"⚠ Double-booked",INDEX(Bookings!$F:$F,Lists!$N$12)))</f>
        <v/>
      </c>
      <c r="E23" s="67" t="str">
        <f aca="false">IF(Lists!$O$30=0,"",IF(Lists!$O$30&gt;1,"⚠ Double-booked",INDEX(Bookings!$F:$F,Lists!$O$12)))</f>
        <v/>
      </c>
      <c r="F23" s="67" t="str">
        <f aca="false">IF(Lists!$P$30=0,"",IF(Lists!$P$30&gt;1,"⚠ Double-booked",INDEX(Bookings!$F:$F,Lists!$P$12)))</f>
        <v/>
      </c>
      <c r="G23" s="67" t="str">
        <f aca="false">IF(Lists!$Q$30=0,"",IF(Lists!$Q$30&gt;1,"⚠ Double-booked",INDEX(Bookings!$F:$F,Lists!$Q$12)))</f>
        <v/>
      </c>
      <c r="H23" s="67" t="str">
        <f aca="false">IF(Lists!$R$30=0,"",IF(Lists!$R$30&gt;1,"⚠ Double-booked",INDEX(Bookings!$F:$F,Lists!$R$12)))</f>
        <v/>
      </c>
      <c r="I23" s="67" t="str">
        <f aca="false">IF(Lists!$S$30=0,"",IF(Lists!$S$30&gt;1,"⚠ Double-booked",INDEX(Bookings!$F:$F,Lists!$S$12)))</f>
        <v/>
      </c>
      <c r="J23" s="67" t="str">
        <f aca="false">IF(Lists!$T$30=0,"",IF(Lists!$T$30&gt;1,"⚠ Double-booked",INDEX(Bookings!$F:$F,Lists!$T$12)))</f>
        <v/>
      </c>
      <c r="K23" s="67" t="str">
        <f aca="false">IF(Lists!$U$30=0,"",IF(Lists!$U$30&gt;1,"⚠ Double-booked",INDEX(Bookings!$F:$F,Lists!$U$12)))</f>
        <v/>
      </c>
      <c r="L23" s="67" t="str">
        <f aca="false">IF(Lists!$V$30=0,"",IF(Lists!$V$30&gt;1,"⚠ Double-booked",INDEX(Bookings!$F:$F,Lists!$V$12)))</f>
        <v/>
      </c>
      <c r="M23" s="67" t="str">
        <f aca="false">IF(Lists!$W$30=0,"",IF(Lists!$W$30&gt;1,"⚠ Double-booked",INDEX(Bookings!$F:$F,Lists!$W$12)))</f>
        <v/>
      </c>
      <c r="N23" s="67" t="str">
        <f aca="false">IF(Lists!$X$30=0,"",IF(Lists!$X$30&gt;1,"⚠ Double-booked",INDEX(Bookings!$F:$F,Lists!$X$12)))</f>
        <v/>
      </c>
    </row>
    <row r="24" customFormat="false" ht="18.75" hidden="false" customHeight="true" outlineLevel="0" collapsed="false">
      <c r="B24" s="66" t="n">
        <f aca="false">Lists!$A$13</f>
        <v>0.583333333333333</v>
      </c>
      <c r="C24" s="67" t="str">
        <f aca="false">IF(Lists!$M$31=0,"",IF(Lists!$M$31&gt;1,"⚠ Double-booked",INDEX(Bookings!$F:$F,Lists!$M$13)))</f>
        <v/>
      </c>
      <c r="D24" s="67" t="str">
        <f aca="false">IF(Lists!$N$31=0,"",IF(Lists!$N$31&gt;1,"⚠ Double-booked",INDEX(Bookings!$F:$F,Lists!$N$13)))</f>
        <v>Chloe Dubois</v>
      </c>
      <c r="E24" s="67" t="str">
        <f aca="false">IF(Lists!$O$31=0,"",IF(Lists!$O$31&gt;1,"⚠ Double-booked",INDEX(Bookings!$F:$F,Lists!$O$13)))</f>
        <v/>
      </c>
      <c r="F24" s="67" t="str">
        <f aca="false">IF(Lists!$P$31=0,"",IF(Lists!$P$31&gt;1,"⚠ Double-booked",INDEX(Bookings!$F:$F,Lists!$P$13)))</f>
        <v/>
      </c>
      <c r="G24" s="67" t="str">
        <f aca="false">IF(Lists!$Q$31=0,"",IF(Lists!$Q$31&gt;1,"⚠ Double-booked",INDEX(Bookings!$F:$F,Lists!$Q$13)))</f>
        <v/>
      </c>
      <c r="H24" s="67" t="str">
        <f aca="false">IF(Lists!$R$31=0,"",IF(Lists!$R$31&gt;1,"⚠ Double-booked",INDEX(Bookings!$F:$F,Lists!$R$13)))</f>
        <v>Elena Costa</v>
      </c>
      <c r="I24" s="67" t="str">
        <f aca="false">IF(Lists!$S$31=0,"",IF(Lists!$S$31&gt;1,"⚠ Double-booked",INDEX(Bookings!$F:$F,Lists!$S$13)))</f>
        <v/>
      </c>
      <c r="J24" s="67" t="str">
        <f aca="false">IF(Lists!$T$31=0,"",IF(Lists!$T$31&gt;1,"⚠ Double-booked",INDEX(Bookings!$F:$F,Lists!$T$13)))</f>
        <v/>
      </c>
      <c r="K24" s="67" t="str">
        <f aca="false">IF(Lists!$U$31=0,"",IF(Lists!$U$31&gt;1,"⚠ Double-booked",INDEX(Bookings!$F:$F,Lists!$U$13)))</f>
        <v/>
      </c>
      <c r="L24" s="67" t="str">
        <f aca="false">IF(Lists!$V$31=0,"",IF(Lists!$V$31&gt;1,"⚠ Double-booked",INDEX(Bookings!$F:$F,Lists!$V$13)))</f>
        <v/>
      </c>
      <c r="M24" s="67" t="str">
        <f aca="false">IF(Lists!$W$31=0,"",IF(Lists!$W$31&gt;1,"⚠ Double-booked",INDEX(Bookings!$F:$F,Lists!$W$13)))</f>
        <v/>
      </c>
      <c r="N24" s="67" t="str">
        <f aca="false">IF(Lists!$X$31=0,"",IF(Lists!$X$31&gt;1,"⚠ Double-booked",INDEX(Bookings!$F:$F,Lists!$X$13)))</f>
        <v/>
      </c>
    </row>
    <row r="25" customFormat="false" ht="18.75" hidden="false" customHeight="true" outlineLevel="0" collapsed="false">
      <c r="B25" s="66" t="n">
        <f aca="false">Lists!$A$14</f>
        <v>0.604166666666667</v>
      </c>
      <c r="C25" s="67" t="str">
        <f aca="false">IF(Lists!$M$32=0,"",IF(Lists!$M$32&gt;1,"⚠ Double-booked",INDEX(Bookings!$F:$F,Lists!$M$14)))</f>
        <v/>
      </c>
      <c r="D25" s="67" t="str">
        <f aca="false">IF(Lists!$N$32=0,"",IF(Lists!$N$32&gt;1,"⚠ Double-booked",INDEX(Bookings!$F:$F,Lists!$N$14)))</f>
        <v/>
      </c>
      <c r="E25" s="67" t="str">
        <f aca="false">IF(Lists!$O$32=0,"",IF(Lists!$O$32&gt;1,"⚠ Double-booked",INDEX(Bookings!$F:$F,Lists!$O$14)))</f>
        <v/>
      </c>
      <c r="F25" s="67" t="str">
        <f aca="false">IF(Lists!$P$32=0,"",IF(Lists!$P$32&gt;1,"⚠ Double-booked",INDEX(Bookings!$F:$F,Lists!$P$14)))</f>
        <v>Noah Bennett</v>
      </c>
      <c r="G25" s="67" t="str">
        <f aca="false">IF(Lists!$Q$32=0,"",IF(Lists!$Q$32&gt;1,"⚠ Double-booked",INDEX(Bookings!$F:$F,Lists!$Q$14)))</f>
        <v/>
      </c>
      <c r="H25" s="67" t="str">
        <f aca="false">IF(Lists!$R$32=0,"",IF(Lists!$R$32&gt;1,"⚠ Double-booked",INDEX(Bookings!$F:$F,Lists!$R$14)))</f>
        <v>Ravi Menon</v>
      </c>
      <c r="I25" s="67" t="str">
        <f aca="false">IF(Lists!$S$32=0,"",IF(Lists!$S$32&gt;1,"⚠ Double-booked",INDEX(Bookings!$F:$F,Lists!$S$14)))</f>
        <v/>
      </c>
      <c r="J25" s="67" t="str">
        <f aca="false">IF(Lists!$T$32=0,"",IF(Lists!$T$32&gt;1,"⚠ Double-booked",INDEX(Bookings!$F:$F,Lists!$T$14)))</f>
        <v/>
      </c>
      <c r="K25" s="67" t="str">
        <f aca="false">IF(Lists!$U$32=0,"",IF(Lists!$U$32&gt;1,"⚠ Double-booked",INDEX(Bookings!$F:$F,Lists!$U$14)))</f>
        <v/>
      </c>
      <c r="L25" s="67" t="str">
        <f aca="false">IF(Lists!$V$32=0,"",IF(Lists!$V$32&gt;1,"⚠ Double-booked",INDEX(Bookings!$F:$F,Lists!$V$14)))</f>
        <v/>
      </c>
      <c r="M25" s="67" t="str">
        <f aca="false">IF(Lists!$W$32=0,"",IF(Lists!$W$32&gt;1,"⚠ Double-booked",INDEX(Bookings!$F:$F,Lists!$W$14)))</f>
        <v/>
      </c>
      <c r="N25" s="67" t="str">
        <f aca="false">IF(Lists!$X$32=0,"",IF(Lists!$X$32&gt;1,"⚠ Double-booked",INDEX(Bookings!$F:$F,Lists!$X$14)))</f>
        <v/>
      </c>
    </row>
    <row r="26" customFormat="false" ht="18.75" hidden="false" customHeight="true" outlineLevel="0" collapsed="false">
      <c r="B26" s="66" t="n">
        <f aca="false">Lists!$A$15</f>
        <v>0.625</v>
      </c>
      <c r="C26" s="67" t="str">
        <f aca="false">IF(Lists!$M$33=0,"",IF(Lists!$M$33&gt;1,"⚠ Double-booked",INDEX(Bookings!$F:$F,Lists!$M$15)))</f>
        <v/>
      </c>
      <c r="D26" s="67" t="str">
        <f aca="false">IF(Lists!$N$33=0,"",IF(Lists!$N$33&gt;1,"⚠ Double-booked",INDEX(Bookings!$F:$F,Lists!$N$15)))</f>
        <v/>
      </c>
      <c r="E26" s="67" t="str">
        <f aca="false">IF(Lists!$O$33=0,"",IF(Lists!$O$33&gt;1,"⚠ Double-booked",INDEX(Bookings!$F:$F,Lists!$O$15)))</f>
        <v/>
      </c>
      <c r="F26" s="67" t="str">
        <f aca="false">IF(Lists!$P$33=0,"",IF(Lists!$P$33&gt;1,"⚠ Double-booked",INDEX(Bookings!$F:$F,Lists!$P$15)))</f>
        <v/>
      </c>
      <c r="G26" s="67" t="str">
        <f aca="false">IF(Lists!$Q$33=0,"",IF(Lists!$Q$33&gt;1,"⚠ Double-booked",INDEX(Bookings!$F:$F,Lists!$Q$15)))</f>
        <v/>
      </c>
      <c r="H26" s="67" t="str">
        <f aca="false">IF(Lists!$R$33=0,"",IF(Lists!$R$33&gt;1,"⚠ Double-booked",INDEX(Bookings!$F:$F,Lists!$R$15)))</f>
        <v/>
      </c>
      <c r="I26" s="67" t="str">
        <f aca="false">IF(Lists!$S$33=0,"",IF(Lists!$S$33&gt;1,"⚠ Double-booked",INDEX(Bookings!$F:$F,Lists!$S$15)))</f>
        <v/>
      </c>
      <c r="J26" s="67" t="str">
        <f aca="false">IF(Lists!$T$33=0,"",IF(Lists!$T$33&gt;1,"⚠ Double-booked",INDEX(Bookings!$F:$F,Lists!$T$15)))</f>
        <v/>
      </c>
      <c r="K26" s="67" t="str">
        <f aca="false">IF(Lists!$U$33=0,"",IF(Lists!$U$33&gt;1,"⚠ Double-booked",INDEX(Bookings!$F:$F,Lists!$U$15)))</f>
        <v/>
      </c>
      <c r="L26" s="67" t="str">
        <f aca="false">IF(Lists!$V$33=0,"",IF(Lists!$V$33&gt;1,"⚠ Double-booked",INDEX(Bookings!$F:$F,Lists!$V$15)))</f>
        <v/>
      </c>
      <c r="M26" s="67" t="str">
        <f aca="false">IF(Lists!$W$33=0,"",IF(Lists!$W$33&gt;1,"⚠ Double-booked",INDEX(Bookings!$F:$F,Lists!$W$15)))</f>
        <v/>
      </c>
      <c r="N26" s="67" t="str">
        <f aca="false">IF(Lists!$X$33=0,"",IF(Lists!$X$33&gt;1,"⚠ Double-booked",INDEX(Bookings!$F:$F,Lists!$X$15)))</f>
        <v/>
      </c>
    </row>
    <row r="27" customFormat="false" ht="18.75" hidden="false" customHeight="true" outlineLevel="0" collapsed="false">
      <c r="B27" s="66" t="n">
        <f aca="false">Lists!$A$16</f>
        <v>0.645833333333333</v>
      </c>
      <c r="C27" s="67" t="str">
        <f aca="false">IF(Lists!$M$34=0,"",IF(Lists!$M$34&gt;1,"⚠ Double-booked",INDEX(Bookings!$F:$F,Lists!$M$16)))</f>
        <v/>
      </c>
      <c r="D27" s="67" t="str">
        <f aca="false">IF(Lists!$N$34=0,"",IF(Lists!$N$34&gt;1,"⚠ Double-booked",INDEX(Bookings!$F:$F,Lists!$N$16)))</f>
        <v/>
      </c>
      <c r="E27" s="67" t="str">
        <f aca="false">IF(Lists!$O$34=0,"",IF(Lists!$O$34&gt;1,"⚠ Double-booked",INDEX(Bookings!$F:$F,Lists!$O$16)))</f>
        <v/>
      </c>
      <c r="F27" s="67" t="str">
        <f aca="false">IF(Lists!$P$34=0,"",IF(Lists!$P$34&gt;1,"⚠ Double-booked",INDEX(Bookings!$F:$F,Lists!$P$16)))</f>
        <v/>
      </c>
      <c r="G27" s="67" t="str">
        <f aca="false">IF(Lists!$Q$34=0,"",IF(Lists!$Q$34&gt;1,"⚠ Double-booked",INDEX(Bookings!$F:$F,Lists!$Q$16)))</f>
        <v/>
      </c>
      <c r="H27" s="67" t="str">
        <f aca="false">IF(Lists!$R$34=0,"",IF(Lists!$R$34&gt;1,"⚠ Double-booked",INDEX(Bookings!$F:$F,Lists!$R$16)))</f>
        <v/>
      </c>
      <c r="I27" s="67" t="str">
        <f aca="false">IF(Lists!$S$34=0,"",IF(Lists!$S$34&gt;1,"⚠ Double-booked",INDEX(Bookings!$F:$F,Lists!$S$16)))</f>
        <v/>
      </c>
      <c r="J27" s="67" t="str">
        <f aca="false">IF(Lists!$T$34=0,"",IF(Lists!$T$34&gt;1,"⚠ Double-booked",INDEX(Bookings!$F:$F,Lists!$T$16)))</f>
        <v/>
      </c>
      <c r="K27" s="67" t="str">
        <f aca="false">IF(Lists!$U$34=0,"",IF(Lists!$U$34&gt;1,"⚠ Double-booked",INDEX(Bookings!$F:$F,Lists!$U$16)))</f>
        <v/>
      </c>
      <c r="L27" s="67" t="str">
        <f aca="false">IF(Lists!$V$34=0,"",IF(Lists!$V$34&gt;1,"⚠ Double-booked",INDEX(Bookings!$F:$F,Lists!$V$16)))</f>
        <v/>
      </c>
      <c r="M27" s="67" t="str">
        <f aca="false">IF(Lists!$W$34=0,"",IF(Lists!$W$34&gt;1,"⚠ Double-booked",INDEX(Bookings!$F:$F,Lists!$W$16)))</f>
        <v/>
      </c>
      <c r="N27" s="67" t="str">
        <f aca="false">IF(Lists!$X$34=0,"",IF(Lists!$X$34&gt;1,"⚠ Double-booked",INDEX(Bookings!$F:$F,Lists!$X$16)))</f>
        <v/>
      </c>
    </row>
    <row r="28" customFormat="false" ht="18.75" hidden="false" customHeight="true" outlineLevel="0" collapsed="false">
      <c r="B28" s="66" t="n">
        <f aca="false">Lists!$A$17</f>
        <v>0.666666666666667</v>
      </c>
      <c r="C28" s="67" t="str">
        <f aca="false">IF(Lists!$M$35=0,"",IF(Lists!$M$35&gt;1,"⚠ Double-booked",INDEX(Bookings!$F:$F,Lists!$M$17)))</f>
        <v/>
      </c>
      <c r="D28" s="67" t="str">
        <f aca="false">IF(Lists!$N$35=0,"",IF(Lists!$N$35&gt;1,"⚠ Double-booked",INDEX(Bookings!$F:$F,Lists!$N$17)))</f>
        <v/>
      </c>
      <c r="E28" s="67" t="str">
        <f aca="false">IF(Lists!$O$35=0,"",IF(Lists!$O$35&gt;1,"⚠ Double-booked",INDEX(Bookings!$F:$F,Lists!$O$17)))</f>
        <v/>
      </c>
      <c r="F28" s="67" t="str">
        <f aca="false">IF(Lists!$P$35=0,"",IF(Lists!$P$35&gt;1,"⚠ Double-booked",INDEX(Bookings!$F:$F,Lists!$P$17)))</f>
        <v/>
      </c>
      <c r="G28" s="67" t="str">
        <f aca="false">IF(Lists!$Q$35=0,"",IF(Lists!$Q$35&gt;1,"⚠ Double-booked",INDEX(Bookings!$F:$F,Lists!$Q$17)))</f>
        <v/>
      </c>
      <c r="H28" s="67" t="str">
        <f aca="false">IF(Lists!$R$35=0,"",IF(Lists!$R$35&gt;1,"⚠ Double-booked",INDEX(Bookings!$F:$F,Lists!$R$17)))</f>
        <v/>
      </c>
      <c r="I28" s="67" t="str">
        <f aca="false">IF(Lists!$S$35=0,"",IF(Lists!$S$35&gt;1,"⚠ Double-booked",INDEX(Bookings!$F:$F,Lists!$S$17)))</f>
        <v/>
      </c>
      <c r="J28" s="67" t="str">
        <f aca="false">IF(Lists!$T$35=0,"",IF(Lists!$T$35&gt;1,"⚠ Double-booked",INDEX(Bookings!$F:$F,Lists!$T$17)))</f>
        <v/>
      </c>
      <c r="K28" s="67" t="str">
        <f aca="false">IF(Lists!$U$35=0,"",IF(Lists!$U$35&gt;1,"⚠ Double-booked",INDEX(Bookings!$F:$F,Lists!$U$17)))</f>
        <v/>
      </c>
      <c r="L28" s="67" t="str">
        <f aca="false">IF(Lists!$V$35=0,"",IF(Lists!$V$35&gt;1,"⚠ Double-booked",INDEX(Bookings!$F:$F,Lists!$V$17)))</f>
        <v/>
      </c>
      <c r="M28" s="67" t="str">
        <f aca="false">IF(Lists!$W$35=0,"",IF(Lists!$W$35&gt;1,"⚠ Double-booked",INDEX(Bookings!$F:$F,Lists!$W$17)))</f>
        <v/>
      </c>
      <c r="N28" s="67" t="str">
        <f aca="false">IF(Lists!$X$35=0,"",IF(Lists!$X$35&gt;1,"⚠ Double-booked",INDEX(Bookings!$F:$F,Lists!$X$17)))</f>
        <v/>
      </c>
    </row>
    <row r="29" customFormat="false" ht="18.75" hidden="false" customHeight="true" outlineLevel="0" collapsed="false">
      <c r="B29" s="66" t="n">
        <f aca="false">Lists!$A$18</f>
        <v>0.6875</v>
      </c>
      <c r="C29" s="67" t="str">
        <f aca="false">IF(Lists!$M$36=0,"",IF(Lists!$M$36&gt;1,"⚠ Double-booked",INDEX(Bookings!$F:$F,Lists!$M$18)))</f>
        <v/>
      </c>
      <c r="D29" s="67" t="str">
        <f aca="false">IF(Lists!$N$36=0,"",IF(Lists!$N$36&gt;1,"⚠ Double-booked",INDEX(Bookings!$F:$F,Lists!$N$18)))</f>
        <v/>
      </c>
      <c r="E29" s="67" t="str">
        <f aca="false">IF(Lists!$O$36=0,"",IF(Lists!$O$36&gt;1,"⚠ Double-booked",INDEX(Bookings!$F:$F,Lists!$O$18)))</f>
        <v/>
      </c>
      <c r="F29" s="67" t="str">
        <f aca="false">IF(Lists!$P$36=0,"",IF(Lists!$P$36&gt;1,"⚠ Double-booked",INDEX(Bookings!$F:$F,Lists!$P$18)))</f>
        <v/>
      </c>
      <c r="G29" s="67" t="str">
        <f aca="false">IF(Lists!$Q$36=0,"",IF(Lists!$Q$36&gt;1,"⚠ Double-booked",INDEX(Bookings!$F:$F,Lists!$Q$18)))</f>
        <v/>
      </c>
      <c r="H29" s="67" t="str">
        <f aca="false">IF(Lists!$R$36=0,"",IF(Lists!$R$36&gt;1,"⚠ Double-booked",INDEX(Bookings!$F:$F,Lists!$R$18)))</f>
        <v/>
      </c>
      <c r="I29" s="67" t="str">
        <f aca="false">IF(Lists!$S$36=0,"",IF(Lists!$S$36&gt;1,"⚠ Double-booked",INDEX(Bookings!$F:$F,Lists!$S$18)))</f>
        <v/>
      </c>
      <c r="J29" s="67" t="str">
        <f aca="false">IF(Lists!$T$36=0,"",IF(Lists!$T$36&gt;1,"⚠ Double-booked",INDEX(Bookings!$F:$F,Lists!$T$18)))</f>
        <v/>
      </c>
      <c r="K29" s="67" t="str">
        <f aca="false">IF(Lists!$U$36=0,"",IF(Lists!$U$36&gt;1,"⚠ Double-booked",INDEX(Bookings!$F:$F,Lists!$U$18)))</f>
        <v/>
      </c>
      <c r="L29" s="67" t="str">
        <f aca="false">IF(Lists!$V$36=0,"",IF(Lists!$V$36&gt;1,"⚠ Double-booked",INDEX(Bookings!$F:$F,Lists!$V$18)))</f>
        <v/>
      </c>
      <c r="M29" s="67" t="str">
        <f aca="false">IF(Lists!$W$36=0,"",IF(Lists!$W$36&gt;1,"⚠ Double-booked",INDEX(Bookings!$F:$F,Lists!$W$18)))</f>
        <v/>
      </c>
      <c r="N29" s="67" t="str">
        <f aca="false">IF(Lists!$X$36=0,"",IF(Lists!$X$36&gt;1,"⚠ Double-booked",INDEX(Bookings!$F:$F,Lists!$X$18)))</f>
        <v/>
      </c>
    </row>
    <row r="30" customFormat="false" ht="18" hidden="false" customHeight="true" outlineLevel="0" collapsed="false">
      <c r="B30" s="17" t="s">
        <v>163</v>
      </c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</row>
    <row r="31" customFormat="false" ht="15" hidden="false" customHeight="false" outlineLevel="0" collapsed="false">
      <c r="B31" s="17" t="s">
        <v>164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</row>
  </sheetData>
  <mergeCells count="10">
    <mergeCell ref="B1:H1"/>
    <mergeCell ref="I1:N1"/>
    <mergeCell ref="B3:G3"/>
    <mergeCell ref="I3:N3"/>
    <mergeCell ref="B5:C5"/>
    <mergeCell ref="E5:H5"/>
    <mergeCell ref="B10:N10"/>
    <mergeCell ref="B12:N12"/>
    <mergeCell ref="B30:N30"/>
    <mergeCell ref="B31:N31"/>
  </mergeCells>
  <conditionalFormatting sqref="C14:N29">
    <cfRule type="expression" priority="2" aboveAverage="0" equalAverage="0" bottom="0" percent="0" rank="0" text="" dxfId="0">
      <formula>LEFT(C14,1)="⚠"</formula>
    </cfRule>
    <cfRule type="expression" priority="3" aboveAverage="0" equalAverage="0" bottom="0" percent="0" rank="0" text="" dxfId="5">
      <formula>C14&lt;&gt;""</formula>
    </cfRule>
  </conditionalFormatting>
  <dataValidations count="1">
    <dataValidation allowBlank="true" errorStyle="stop" operator="between" showDropDown="false" showErrorMessage="false" showInputMessage="false" sqref="D5" type="list">
      <formula1>Lists!$B$2:$K$2</formula1>
      <formula2>0</formula2>
    </dataValidation>
  </dataValidations>
  <hyperlinks>
    <hyperlink ref="I1" r:id="rId1" display="Book a live demo  →  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8A5A00"/>
    <pageSetUpPr fitToPage="false"/>
  </sheetPr>
  <dimension ref="B1:L3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3" topLeftCell="A1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5"/>
    <col collapsed="false" customWidth="true" hidden="false" outlineLevel="0" max="2" min="2" style="0" width="10"/>
    <col collapsed="false" customWidth="true" hidden="false" outlineLevel="0" max="12" min="3" style="0" width="15"/>
    <col collapsed="false" customWidth="true" hidden="false" outlineLevel="0" max="13" min="13" style="0" width="3"/>
  </cols>
  <sheetData>
    <row r="1" customFormat="false" ht="21.75" hidden="false" customHeight="true" outlineLevel="0" collapsed="false">
      <c r="B1" s="34" t="s">
        <v>165</v>
      </c>
      <c r="C1" s="34"/>
      <c r="D1" s="34"/>
      <c r="E1" s="34"/>
      <c r="F1" s="34"/>
      <c r="G1" s="34"/>
      <c r="H1" s="35" t="s">
        <v>112</v>
      </c>
      <c r="I1" s="35"/>
      <c r="J1" s="35"/>
      <c r="K1" s="35"/>
      <c r="L1" s="35"/>
    </row>
    <row r="2" customFormat="false" ht="9.75" hidden="false" customHeight="true" outlineLevel="0" collapsed="false"/>
    <row r="3" customFormat="false" ht="27.75" hidden="false" customHeight="true" outlineLevel="0" collapsed="false">
      <c r="B3" s="53" t="str">
        <f aca="false">"        "&amp;CompanyName&amp;" — Room Schedule"</f>
        <v>        Acme Corp — Room Schedule</v>
      </c>
      <c r="C3" s="53"/>
      <c r="D3" s="53"/>
      <c r="E3" s="53"/>
      <c r="F3" s="53"/>
      <c r="H3" s="54" t="str">
        <f aca="false">"Two weeks from "&amp;TEXT(ScheduleStart,"d mmm yyyy")&amp;"  "</f>
        <v>Two weeks from 3 Aug 2026  </v>
      </c>
      <c r="I3" s="54"/>
      <c r="J3" s="54"/>
      <c r="K3" s="54"/>
      <c r="L3" s="54"/>
    </row>
    <row r="4" customFormat="false" ht="9.75" hidden="false" customHeight="true" outlineLevel="0" collapsed="false"/>
    <row r="5" customFormat="false" ht="24" hidden="false" customHeight="true" outlineLevel="0" collapsed="false">
      <c r="B5" s="55" t="s">
        <v>166</v>
      </c>
      <c r="C5" s="55"/>
      <c r="D5" s="68" t="str">
        <f aca="false">IF(Setup!$C$16="","",Setup!$C$16)</f>
        <v>Aurora</v>
      </c>
      <c r="E5" s="19" t="str">
        <f aca="false">IF(SelRoom="","   ←  pick a room",IFERROR("   Floor: "&amp;INDEX(RoomFloor,MATCH(SelRoom,RoomList,0))&amp;"      Seats: "&amp;INDEX(RoomSeats,MATCH(SelRoom,RoomList,0))&amp;"      "&amp;INDEX(RoomKit,MATCH(SelRoom,RoomList,0)),"   ←  that room is not on the Setup tab"))</f>
        <v>   Floor: Floor 1      Seats: 12      Video conf · Whiteboard</v>
      </c>
      <c r="F5" s="19"/>
      <c r="G5" s="19"/>
      <c r="H5" s="19"/>
      <c r="I5" s="19"/>
      <c r="J5" s="19"/>
    </row>
    <row r="6" customFormat="false" ht="9.75" hidden="false" customHeight="true" outlineLevel="0" collapsed="false"/>
    <row r="7" customFormat="false" ht="25.5" hidden="false" customHeight="true" outlineLevel="0" collapsed="false">
      <c r="B7" s="58" t="s">
        <v>156</v>
      </c>
      <c r="C7" s="58" t="s">
        <v>116</v>
      </c>
      <c r="D7" s="59" t="s">
        <v>157</v>
      </c>
      <c r="E7" s="58" t="s">
        <v>167</v>
      </c>
      <c r="F7" s="58" t="s">
        <v>168</v>
      </c>
      <c r="G7" s="58" t="s">
        <v>169</v>
      </c>
      <c r="H7" s="58" t="s">
        <v>120</v>
      </c>
    </row>
    <row r="8" customFormat="false" ht="34.5" hidden="false" customHeight="true" outlineLevel="0" collapsed="false">
      <c r="B8" s="60" t="n">
        <f aca="false">COUNTIF(BkRoom,SelRoom)</f>
        <v>24</v>
      </c>
      <c r="C8" s="61" t="n">
        <f aca="false">SUMIF(BkRoom,SelRoom,BkHours)</f>
        <v>23</v>
      </c>
      <c r="D8" s="62" t="n">
        <f aca="false">IF(BookableHours=0,0,$C$8/(BookableHours*10))</f>
        <v>0.2875</v>
      </c>
      <c r="E8" s="61" t="n">
        <f aca="false">IF($B$8=0,"—",$C$8/$B$8)</f>
        <v>0.958333333333333</v>
      </c>
      <c r="F8" s="61" t="n">
        <f aca="false">IF($B$8=0,"—",SUMIF(BkRoom,SelRoom,BkAtt)/$B$8)</f>
        <v>4.375</v>
      </c>
      <c r="G8" s="60" t="n">
        <f aca="false">IFERROR(INDEX(RoomSeats,MATCH(SelRoom,RoomList,0)),"—")</f>
        <v>12</v>
      </c>
      <c r="H8" s="60" t="n">
        <f aca="false">COUNTIFS(BkRoom,SelRoom,BkShow,"No-show")</f>
        <v>3</v>
      </c>
    </row>
    <row r="9" customFormat="false" ht="7.5" hidden="false" customHeight="true" outlineLevel="0" collapsed="false"/>
    <row r="10" customFormat="false" ht="18" hidden="false" customHeight="true" outlineLevel="0" collapsed="false">
      <c r="B10" s="64" t="str">
        <f aca="false">IF($B$8=0,"Nothing booked in this room across the two weeks — it may be the wrong size, in the wrong place, or simply unknown to people.",IF($D$8&lt;0.2,"⚠  This room is used "&amp;TEXT($D$8,"0%")&amp;" of the bookable time. A room this quiet is usually the wrong size or hard to find.",IF($D$8&gt;0.75,"⚠  This room runs at "&amp;TEXT($D$8,"0%")&amp;". People are almost certainly giving up on it and meeting somewhere else.","✓  "&amp;$B$8&amp;" meeting(s), "&amp;TEXT($D$8,"0%")&amp;" of the bookable time, averaging "&amp;TEXT($F$8,"0.0")&amp;" people in "&amp;$G$8&amp;" seats.")))</f>
        <v>✓  24 meeting(s), 29% of the bookable time, averaging 4.4 people in 12 seats.</v>
      </c>
      <c r="C10" s="64"/>
      <c r="D10" s="64"/>
      <c r="E10" s="64"/>
      <c r="F10" s="64"/>
      <c r="G10" s="64"/>
      <c r="H10" s="64"/>
      <c r="I10" s="64"/>
      <c r="J10" s="64"/>
      <c r="K10" s="64"/>
      <c r="L10" s="64"/>
    </row>
    <row r="11" customFormat="false" ht="9.75" hidden="false" customHeight="true" outlineLevel="0" collapsed="false"/>
    <row r="12" customFormat="false" ht="21.75" hidden="false" customHeight="true" outlineLevel="0" collapsed="false">
      <c r="B12" s="5" t="s">
        <v>170</v>
      </c>
      <c r="C12" s="5"/>
      <c r="D12" s="5"/>
      <c r="E12" s="5"/>
      <c r="F12" s="5"/>
      <c r="G12" s="5"/>
      <c r="H12" s="5"/>
      <c r="I12" s="5"/>
      <c r="J12" s="5"/>
      <c r="K12" s="5"/>
      <c r="L12" s="5"/>
    </row>
    <row r="13" customFormat="false" ht="28.5" hidden="false" customHeight="true" outlineLevel="0" collapsed="false">
      <c r="B13" s="28" t="s">
        <v>162</v>
      </c>
      <c r="C13" s="65" t="str">
        <f aca="false">TEXT(Lists!$B$2,"ddd")&amp;CHAR(10)&amp;TEXT(Lists!$B$2,"d mmm")</f>
        <v>Mon
3 Aug</v>
      </c>
      <c r="D13" s="65" t="str">
        <f aca="false">TEXT(Lists!$C$2,"ddd")&amp;CHAR(10)&amp;TEXT(Lists!$C$2,"d mmm")</f>
        <v>Tue
4 Aug</v>
      </c>
      <c r="E13" s="65" t="str">
        <f aca="false">TEXT(Lists!$D$2,"ddd")&amp;CHAR(10)&amp;TEXT(Lists!$D$2,"d mmm")</f>
        <v>Wed
5 Aug</v>
      </c>
      <c r="F13" s="65" t="str">
        <f aca="false">TEXT(Lists!$E$2,"ddd")&amp;CHAR(10)&amp;TEXT(Lists!$E$2,"d mmm")</f>
        <v>Thu
6 Aug</v>
      </c>
      <c r="G13" s="65" t="str">
        <f aca="false">TEXT(Lists!$F$2,"ddd")&amp;CHAR(10)&amp;TEXT(Lists!$F$2,"d mmm")</f>
        <v>Fri
7 Aug</v>
      </c>
      <c r="H13" s="65" t="str">
        <f aca="false">TEXT(Lists!$G$2,"ddd")&amp;CHAR(10)&amp;TEXT(Lists!$G$2,"d mmm")</f>
        <v>Mon
10 Aug</v>
      </c>
      <c r="I13" s="65" t="str">
        <f aca="false">TEXT(Lists!$H$2,"ddd")&amp;CHAR(10)&amp;TEXT(Lists!$H$2,"d mmm")</f>
        <v>Tue
11 Aug</v>
      </c>
      <c r="J13" s="65" t="str">
        <f aca="false">TEXT(Lists!$I$2,"ddd")&amp;CHAR(10)&amp;TEXT(Lists!$I$2,"d mmm")</f>
        <v>Wed
12 Aug</v>
      </c>
      <c r="K13" s="65" t="str">
        <f aca="false">TEXT(Lists!$J$2,"ddd")&amp;CHAR(10)&amp;TEXT(Lists!$J$2,"d mmm")</f>
        <v>Thu
13 Aug</v>
      </c>
      <c r="L13" s="65" t="str">
        <f aca="false">TEXT(Lists!$K$2,"ddd")&amp;CHAR(10)&amp;TEXT(Lists!$K$2,"d mmm")</f>
        <v>Fri
14 Aug</v>
      </c>
    </row>
    <row r="14" customFormat="false" ht="18.75" hidden="false" customHeight="true" outlineLevel="0" collapsed="false">
      <c r="B14" s="66" t="n">
        <f aca="false">Lists!$A$3</f>
        <v>0.375</v>
      </c>
      <c r="C14" s="67" t="str">
        <f aca="false">IF(Lists!$B$21=0,"",IF(Lists!$B$21&gt;1,"⚠ Double-booked",INDEX(Bookings!$F:$F,Lists!$B$3)))</f>
        <v/>
      </c>
      <c r="D14" s="67" t="str">
        <f aca="false">IF(Lists!$C$21=0,"",IF(Lists!$C$21&gt;1,"⚠ Double-booked",INDEX(Bookings!$F:$F,Lists!$C$3)))</f>
        <v/>
      </c>
      <c r="E14" s="67" t="str">
        <f aca="false">IF(Lists!$D$21=0,"",IF(Lists!$D$21&gt;1,"⚠ Double-booked",INDEX(Bookings!$F:$F,Lists!$D$3)))</f>
        <v/>
      </c>
      <c r="F14" s="67" t="str">
        <f aca="false">IF(Lists!$E$21=0,"",IF(Lists!$E$21&gt;1,"⚠ Double-booked",INDEX(Bookings!$F:$F,Lists!$E$3)))</f>
        <v/>
      </c>
      <c r="G14" s="67" t="str">
        <f aca="false">IF(Lists!$F$21=0,"",IF(Lists!$F$21&gt;1,"⚠ Double-booked",INDEX(Bookings!$F:$F,Lists!$F$3)))</f>
        <v/>
      </c>
      <c r="H14" s="67" t="str">
        <f aca="false">IF(Lists!$G$21=0,"",IF(Lists!$G$21&gt;1,"⚠ Double-booked",INDEX(Bookings!$F:$F,Lists!$G$3)))</f>
        <v/>
      </c>
      <c r="I14" s="67" t="str">
        <f aca="false">IF(Lists!$H$21=0,"",IF(Lists!$H$21&gt;1,"⚠ Double-booked",INDEX(Bookings!$F:$F,Lists!$H$3)))</f>
        <v>Yuki Tanaka</v>
      </c>
      <c r="J14" s="67" t="str">
        <f aca="false">IF(Lists!$I$21=0,"",IF(Lists!$I$21&gt;1,"⚠ Double-booked",INDEX(Bookings!$F:$F,Lists!$I$3)))</f>
        <v>Ravi Menon</v>
      </c>
      <c r="K14" s="67" t="str">
        <f aca="false">IF(Lists!$J$21=0,"",IF(Lists!$J$21&gt;1,"⚠ Double-booked",INDEX(Bookings!$F:$F,Lists!$J$3)))</f>
        <v/>
      </c>
      <c r="L14" s="67" t="str">
        <f aca="false">IF(Lists!$K$21=0,"",IF(Lists!$K$21&gt;1,"⚠ Double-booked",INDEX(Bookings!$F:$F,Lists!$K$3)))</f>
        <v/>
      </c>
    </row>
    <row r="15" customFormat="false" ht="18.75" hidden="false" customHeight="true" outlineLevel="0" collapsed="false">
      <c r="B15" s="66" t="n">
        <f aca="false">Lists!$A$4</f>
        <v>0.395833333333333</v>
      </c>
      <c r="C15" s="67" t="str">
        <f aca="false">IF(Lists!$B$22=0,"",IF(Lists!$B$22&gt;1,"⚠ Double-booked",INDEX(Bookings!$F:$F,Lists!$B$4)))</f>
        <v/>
      </c>
      <c r="D15" s="67" t="str">
        <f aca="false">IF(Lists!$C$22=0,"",IF(Lists!$C$22&gt;1,"⚠ Double-booked",INDEX(Bookings!$F:$F,Lists!$C$4)))</f>
        <v/>
      </c>
      <c r="E15" s="67" t="str">
        <f aca="false">IF(Lists!$D$22=0,"",IF(Lists!$D$22&gt;1,"⚠ Double-booked",INDEX(Bookings!$F:$F,Lists!$D$4)))</f>
        <v/>
      </c>
      <c r="F15" s="67" t="str">
        <f aca="false">IF(Lists!$E$22=0,"",IF(Lists!$E$22&gt;1,"⚠ Double-booked",INDEX(Bookings!$F:$F,Lists!$E$4)))</f>
        <v>Priya Nair</v>
      </c>
      <c r="G15" s="67" t="str">
        <f aca="false">IF(Lists!$F$22=0,"",IF(Lists!$F$22&gt;1,"⚠ Double-booked",INDEX(Bookings!$F:$F,Lists!$F$4)))</f>
        <v/>
      </c>
      <c r="H15" s="67" t="str">
        <f aca="false">IF(Lists!$G$22=0,"",IF(Lists!$G$22&gt;1,"⚠ Double-booked",INDEX(Bookings!$F:$F,Lists!$G$4)))</f>
        <v/>
      </c>
      <c r="I15" s="67" t="str">
        <f aca="false">IF(Lists!$H$22=0,"",IF(Lists!$H$22&gt;1,"⚠ Double-booked",INDEX(Bookings!$F:$F,Lists!$H$4)))</f>
        <v>Yuki Tanaka</v>
      </c>
      <c r="J15" s="67" t="str">
        <f aca="false">IF(Lists!$I$22=0,"",IF(Lists!$I$22&gt;1,"⚠ Double-booked",INDEX(Bookings!$F:$F,Lists!$I$4)))</f>
        <v>Marcus Bell</v>
      </c>
      <c r="K15" s="67" t="str">
        <f aca="false">IF(Lists!$J$22=0,"",IF(Lists!$J$22&gt;1,"⚠ Double-booked",INDEX(Bookings!$F:$F,Lists!$J$4)))</f>
        <v/>
      </c>
      <c r="L15" s="67" t="str">
        <f aca="false">IF(Lists!$K$22=0,"",IF(Lists!$K$22&gt;1,"⚠ Double-booked",INDEX(Bookings!$F:$F,Lists!$K$4)))</f>
        <v/>
      </c>
    </row>
    <row r="16" customFormat="false" ht="18.75" hidden="false" customHeight="true" outlineLevel="0" collapsed="false">
      <c r="B16" s="66" t="n">
        <f aca="false">Lists!$A$5</f>
        <v>0.416666666666667</v>
      </c>
      <c r="C16" s="67" t="str">
        <f aca="false">IF(Lists!$B$23=0,"",IF(Lists!$B$23&gt;1,"⚠ Double-booked",INDEX(Bookings!$F:$F,Lists!$B$5)))</f>
        <v/>
      </c>
      <c r="D16" s="67" t="str">
        <f aca="false">IF(Lists!$C$23=0,"",IF(Lists!$C$23&gt;1,"⚠ Double-booked",INDEX(Bookings!$F:$F,Lists!$C$5)))</f>
        <v>Liam Novak</v>
      </c>
      <c r="E16" s="67" t="str">
        <f aca="false">IF(Lists!$D$23=0,"",IF(Lists!$D$23&gt;1,"⚠ Double-booked",INDEX(Bookings!$F:$F,Lists!$D$5)))</f>
        <v/>
      </c>
      <c r="F16" s="67" t="str">
        <f aca="false">IF(Lists!$E$23=0,"",IF(Lists!$E$23&gt;1,"⚠ Double-booked",INDEX(Bookings!$F:$F,Lists!$E$5)))</f>
        <v/>
      </c>
      <c r="G16" s="67" t="str">
        <f aca="false">IF(Lists!$F$23=0,"",IF(Lists!$F$23&gt;1,"⚠ Double-booked",INDEX(Bookings!$F:$F,Lists!$F$5)))</f>
        <v/>
      </c>
      <c r="H16" s="67" t="str">
        <f aca="false">IF(Lists!$G$23=0,"",IF(Lists!$G$23&gt;1,"⚠ Double-booked",INDEX(Bookings!$F:$F,Lists!$G$5)))</f>
        <v/>
      </c>
      <c r="I16" s="67" t="str">
        <f aca="false">IF(Lists!$H$23=0,"",IF(Lists!$H$23&gt;1,"⚠ Double-booked",INDEX(Bookings!$F:$F,Lists!$H$5)))</f>
        <v>Jonas Weber</v>
      </c>
      <c r="J16" s="67" t="str">
        <f aca="false">IF(Lists!$I$23=0,"",IF(Lists!$I$23&gt;1,"⚠ Double-booked",INDEX(Bookings!$F:$F,Lists!$I$5)))</f>
        <v>Marcus Bell</v>
      </c>
      <c r="K16" s="67" t="str">
        <f aca="false">IF(Lists!$J$23=0,"",IF(Lists!$J$23&gt;1,"⚠ Double-booked",INDEX(Bookings!$F:$F,Lists!$J$5)))</f>
        <v>Isla Petrova</v>
      </c>
      <c r="L16" s="67" t="str">
        <f aca="false">IF(Lists!$K$23=0,"",IF(Lists!$K$23&gt;1,"⚠ Double-booked",INDEX(Bookings!$F:$F,Lists!$K$5)))</f>
        <v/>
      </c>
    </row>
    <row r="17" customFormat="false" ht="18.75" hidden="false" customHeight="true" outlineLevel="0" collapsed="false">
      <c r="B17" s="66" t="n">
        <f aca="false">Lists!$A$6</f>
        <v>0.4375</v>
      </c>
      <c r="C17" s="67" t="str">
        <f aca="false">IF(Lists!$B$24=0,"",IF(Lists!$B$24&gt;1,"⚠ Double-booked",INDEX(Bookings!$F:$F,Lists!$B$6)))</f>
        <v/>
      </c>
      <c r="D17" s="67" t="str">
        <f aca="false">IF(Lists!$C$24=0,"",IF(Lists!$C$24&gt;1,"⚠ Double-booked",INDEX(Bookings!$F:$F,Lists!$C$6)))</f>
        <v>Liam Novak</v>
      </c>
      <c r="E17" s="67" t="str">
        <f aca="false">IF(Lists!$D$24=0,"",IF(Lists!$D$24&gt;1,"⚠ Double-booked",INDEX(Bookings!$F:$F,Lists!$D$6)))</f>
        <v>Priya Nair</v>
      </c>
      <c r="F17" s="67" t="str">
        <f aca="false">IF(Lists!$E$24=0,"",IF(Lists!$E$24&gt;1,"⚠ Double-booked",INDEX(Bookings!$F:$F,Lists!$E$6)))</f>
        <v>Marcus Bell</v>
      </c>
      <c r="G17" s="67" t="str">
        <f aca="false">IF(Lists!$F$24=0,"",IF(Lists!$F$24&gt;1,"⚠ Double-booked",INDEX(Bookings!$F:$F,Lists!$F$6)))</f>
        <v/>
      </c>
      <c r="H17" s="67" t="str">
        <f aca="false">IF(Lists!$G$24=0,"",IF(Lists!$G$24&gt;1,"⚠ Double-booked",INDEX(Bookings!$F:$F,Lists!$G$6)))</f>
        <v/>
      </c>
      <c r="I17" s="67" t="str">
        <f aca="false">IF(Lists!$H$24=0,"",IF(Lists!$H$24&gt;1,"⚠ Double-booked",INDEX(Bookings!$F:$F,Lists!$H$6)))</f>
        <v/>
      </c>
      <c r="J17" s="67" t="str">
        <f aca="false">IF(Lists!$I$24=0,"",IF(Lists!$I$24&gt;1,"⚠ Double-booked",INDEX(Bookings!$F:$F,Lists!$I$6)))</f>
        <v/>
      </c>
      <c r="K17" s="67" t="str">
        <f aca="false">IF(Lists!$J$24=0,"",IF(Lists!$J$24&gt;1,"⚠ Double-booked",INDEX(Bookings!$F:$F,Lists!$J$6)))</f>
        <v>Yuki Tanaka</v>
      </c>
      <c r="L17" s="67" t="str">
        <f aca="false">IF(Lists!$K$24=0,"",IF(Lists!$K$24&gt;1,"⚠ Double-booked",INDEX(Bookings!$F:$F,Lists!$K$6)))</f>
        <v>Jonas Weber</v>
      </c>
    </row>
    <row r="18" customFormat="false" ht="18.75" hidden="false" customHeight="true" outlineLevel="0" collapsed="false">
      <c r="B18" s="66" t="n">
        <f aca="false">Lists!$A$7</f>
        <v>0.458333333333333</v>
      </c>
      <c r="C18" s="67" t="str">
        <f aca="false">IF(Lists!$B$25=0,"",IF(Lists!$B$25&gt;1,"⚠ Double-booked",INDEX(Bookings!$F:$F,Lists!$B$7)))</f>
        <v/>
      </c>
      <c r="D18" s="67" t="str">
        <f aca="false">IF(Lists!$C$25=0,"",IF(Lists!$C$25&gt;1,"⚠ Double-booked",INDEX(Bookings!$F:$F,Lists!$C$7)))</f>
        <v>Liam Novak</v>
      </c>
      <c r="E18" s="67" t="str">
        <f aca="false">IF(Lists!$D$25=0,"",IF(Lists!$D$25&gt;1,"⚠ Double-booked",INDEX(Bookings!$F:$F,Lists!$D$7)))</f>
        <v>Priya Nair</v>
      </c>
      <c r="F18" s="67" t="str">
        <f aca="false">IF(Lists!$E$25=0,"",IF(Lists!$E$25&gt;1,"⚠ Double-booked",INDEX(Bookings!$F:$F,Lists!$E$7)))</f>
        <v/>
      </c>
      <c r="G18" s="67" t="str">
        <f aca="false">IF(Lists!$F$25=0,"",IF(Lists!$F$25&gt;1,"⚠ Double-booked",INDEX(Bookings!$F:$F,Lists!$F$7)))</f>
        <v/>
      </c>
      <c r="H18" s="67" t="str">
        <f aca="false">IF(Lists!$G$25=0,"",IF(Lists!$G$25&gt;1,"⚠ Double-booked",INDEX(Bookings!$F:$F,Lists!$G$7)))</f>
        <v>Omar Farouk</v>
      </c>
      <c r="I18" s="67" t="str">
        <f aca="false">IF(Lists!$H$25=0,"",IF(Lists!$H$25&gt;1,"⚠ Double-booked",INDEX(Bookings!$F:$F,Lists!$H$7)))</f>
        <v/>
      </c>
      <c r="J18" s="67" t="str">
        <f aca="false">IF(Lists!$I$25=0,"",IF(Lists!$I$25&gt;1,"⚠ Double-booked",INDEX(Bookings!$F:$F,Lists!$I$7)))</f>
        <v/>
      </c>
      <c r="K18" s="67" t="str">
        <f aca="false">IF(Lists!$J$25=0,"",IF(Lists!$J$25&gt;1,"⚠ Double-booked",INDEX(Bookings!$F:$F,Lists!$J$7)))</f>
        <v>Yuki Tanaka</v>
      </c>
      <c r="L18" s="67" t="str">
        <f aca="false">IF(Lists!$K$25=0,"",IF(Lists!$K$25&gt;1,"⚠ Double-booked",INDEX(Bookings!$F:$F,Lists!$K$7)))</f>
        <v>Jonas Weber</v>
      </c>
    </row>
    <row r="19" customFormat="false" ht="18.75" hidden="false" customHeight="true" outlineLevel="0" collapsed="false">
      <c r="B19" s="66" t="n">
        <f aca="false">Lists!$A$8</f>
        <v>0.479166666666667</v>
      </c>
      <c r="C19" s="67" t="str">
        <f aca="false">IF(Lists!$B$26=0,"",IF(Lists!$B$26&gt;1,"⚠ Double-booked",INDEX(Bookings!$F:$F,Lists!$B$8)))</f>
        <v/>
      </c>
      <c r="D19" s="67" t="str">
        <f aca="false">IF(Lists!$C$26=0,"",IF(Lists!$C$26&gt;1,"⚠ Double-booked",INDEX(Bookings!$F:$F,Lists!$C$8)))</f>
        <v/>
      </c>
      <c r="E19" s="67" t="str">
        <f aca="false">IF(Lists!$D$26=0,"",IF(Lists!$D$26&gt;1,"⚠ Double-booked",INDEX(Bookings!$F:$F,Lists!$D$8)))</f>
        <v>Priya Nair</v>
      </c>
      <c r="F19" s="67" t="str">
        <f aca="false">IF(Lists!$E$26=0,"",IF(Lists!$E$26&gt;1,"⚠ Double-booked",INDEX(Bookings!$F:$F,Lists!$E$8)))</f>
        <v/>
      </c>
      <c r="G19" s="67" t="str">
        <f aca="false">IF(Lists!$F$26=0,"",IF(Lists!$F$26&gt;1,"⚠ Double-booked",INDEX(Bookings!$F:$F,Lists!$F$8)))</f>
        <v/>
      </c>
      <c r="H19" s="67" t="str">
        <f aca="false">IF(Lists!$G$26=0,"",IF(Lists!$G$26&gt;1,"⚠ Double-booked",INDEX(Bookings!$F:$F,Lists!$G$8)))</f>
        <v>Omar Farouk</v>
      </c>
      <c r="I19" s="67" t="str">
        <f aca="false">IF(Lists!$H$26=0,"",IF(Lists!$H$26&gt;1,"⚠ Double-booked",INDEX(Bookings!$F:$F,Lists!$H$8)))</f>
        <v/>
      </c>
      <c r="J19" s="67" t="str">
        <f aca="false">IF(Lists!$I$26=0,"",IF(Lists!$I$26&gt;1,"⚠ Double-booked",INDEX(Bookings!$F:$F,Lists!$I$8)))</f>
        <v>Tom Ashby</v>
      </c>
      <c r="K19" s="67" t="str">
        <f aca="false">IF(Lists!$J$26=0,"",IF(Lists!$J$26&gt;1,"⚠ Double-booked",INDEX(Bookings!$F:$F,Lists!$J$8)))</f>
        <v/>
      </c>
      <c r="L19" s="67" t="str">
        <f aca="false">IF(Lists!$K$26=0,"",IF(Lists!$K$26&gt;1,"⚠ Double-booked",INDEX(Bookings!$F:$F,Lists!$K$8)))</f>
        <v/>
      </c>
    </row>
    <row r="20" customFormat="false" ht="18.75" hidden="false" customHeight="true" outlineLevel="0" collapsed="false">
      <c r="B20" s="66" t="n">
        <f aca="false">Lists!$A$9</f>
        <v>0.5</v>
      </c>
      <c r="C20" s="67" t="str">
        <f aca="false">IF(Lists!$B$27=0,"",IF(Lists!$B$27&gt;1,"⚠ Double-booked",INDEX(Bookings!$F:$F,Lists!$B$9)))</f>
        <v/>
      </c>
      <c r="D20" s="67" t="str">
        <f aca="false">IF(Lists!$C$27=0,"",IF(Lists!$C$27&gt;1,"⚠ Double-booked",INDEX(Bookings!$F:$F,Lists!$C$9)))</f>
        <v/>
      </c>
      <c r="E20" s="67" t="str">
        <f aca="false">IF(Lists!$D$27=0,"",IF(Lists!$D$27&gt;1,"⚠ Double-booked",INDEX(Bookings!$F:$F,Lists!$D$9)))</f>
        <v/>
      </c>
      <c r="F20" s="67" t="str">
        <f aca="false">IF(Lists!$E$27=0,"",IF(Lists!$E$27&gt;1,"⚠ Double-booked",INDEX(Bookings!$F:$F,Lists!$E$9)))</f>
        <v/>
      </c>
      <c r="G20" s="67" t="str">
        <f aca="false">IF(Lists!$F$27=0,"",IF(Lists!$F$27&gt;1,"⚠ Double-booked",INDEX(Bookings!$F:$F,Lists!$F$9)))</f>
        <v/>
      </c>
      <c r="H20" s="67" t="str">
        <f aca="false">IF(Lists!$G$27=0,"",IF(Lists!$G$27&gt;1,"⚠ Double-booked",INDEX(Bookings!$F:$F,Lists!$G$9)))</f>
        <v/>
      </c>
      <c r="I20" s="67" t="str">
        <f aca="false">IF(Lists!$H$27=0,"",IF(Lists!$H$27&gt;1,"⚠ Double-booked",INDEX(Bookings!$F:$F,Lists!$H$9)))</f>
        <v/>
      </c>
      <c r="J20" s="67" t="str">
        <f aca="false">IF(Lists!$I$27=0,"",IF(Lists!$I$27&gt;1,"⚠ Double-booked",INDEX(Bookings!$F:$F,Lists!$I$9)))</f>
        <v>Tom Ashby</v>
      </c>
      <c r="K20" s="67" t="str">
        <f aca="false">IF(Lists!$J$27=0,"",IF(Lists!$J$27&gt;1,"⚠ Double-booked",INDEX(Bookings!$F:$F,Lists!$J$9)))</f>
        <v/>
      </c>
      <c r="L20" s="67" t="str">
        <f aca="false">IF(Lists!$K$27=0,"",IF(Lists!$K$27&gt;1,"⚠ Double-booked",INDEX(Bookings!$F:$F,Lists!$K$9)))</f>
        <v/>
      </c>
    </row>
    <row r="21" customFormat="false" ht="18.75" hidden="false" customHeight="true" outlineLevel="0" collapsed="false">
      <c r="B21" s="66" t="n">
        <f aca="false">Lists!$A$10</f>
        <v>0.520833333333333</v>
      </c>
      <c r="C21" s="67" t="str">
        <f aca="false">IF(Lists!$B$28=0,"",IF(Lists!$B$28&gt;1,"⚠ Double-booked",INDEX(Bookings!$F:$F,Lists!$B$10)))</f>
        <v/>
      </c>
      <c r="D21" s="67" t="str">
        <f aca="false">IF(Lists!$C$28=0,"",IF(Lists!$C$28&gt;1,"⚠ Double-booked",INDEX(Bookings!$F:$F,Lists!$C$10)))</f>
        <v/>
      </c>
      <c r="E21" s="67" t="str">
        <f aca="false">IF(Lists!$D$28=0,"",IF(Lists!$D$28&gt;1,"⚠ Double-booked",INDEX(Bookings!$F:$F,Lists!$D$10)))</f>
        <v/>
      </c>
      <c r="F21" s="67" t="str">
        <f aca="false">IF(Lists!$E$28=0,"",IF(Lists!$E$28&gt;1,"⚠ Double-booked",INDEX(Bookings!$F:$F,Lists!$E$10)))</f>
        <v/>
      </c>
      <c r="G21" s="67" t="str">
        <f aca="false">IF(Lists!$F$28=0,"",IF(Lists!$F$28&gt;1,"⚠ Double-booked",INDEX(Bookings!$F:$F,Lists!$F$10)))</f>
        <v/>
      </c>
      <c r="H21" s="67" t="str">
        <f aca="false">IF(Lists!$G$28=0,"",IF(Lists!$G$28&gt;1,"⚠ Double-booked",INDEX(Bookings!$F:$F,Lists!$G$10)))</f>
        <v/>
      </c>
      <c r="I21" s="67" t="str">
        <f aca="false">IF(Lists!$H$28=0,"",IF(Lists!$H$28&gt;1,"⚠ Double-booked",INDEX(Bookings!$F:$F,Lists!$H$10)))</f>
        <v/>
      </c>
      <c r="J21" s="67" t="str">
        <f aca="false">IF(Lists!$I$28=0,"",IF(Lists!$I$28&gt;1,"⚠ Double-booked",INDEX(Bookings!$F:$F,Lists!$I$10)))</f>
        <v/>
      </c>
      <c r="K21" s="67" t="str">
        <f aca="false">IF(Lists!$J$28=0,"",IF(Lists!$J$28&gt;1,"⚠ Double-booked",INDEX(Bookings!$F:$F,Lists!$J$10)))</f>
        <v/>
      </c>
      <c r="L21" s="67" t="str">
        <f aca="false">IF(Lists!$K$28=0,"",IF(Lists!$K$28&gt;1,"⚠ Double-booked",INDEX(Bookings!$F:$F,Lists!$K$10)))</f>
        <v/>
      </c>
    </row>
    <row r="22" customFormat="false" ht="18.75" hidden="false" customHeight="true" outlineLevel="0" collapsed="false">
      <c r="B22" s="66" t="n">
        <f aca="false">Lists!$A$11</f>
        <v>0.541666666666667</v>
      </c>
      <c r="C22" s="67" t="str">
        <f aca="false">IF(Lists!$B$29=0,"",IF(Lists!$B$29&gt;1,"⚠ Double-booked",INDEX(Bookings!$F:$F,Lists!$B$11)))</f>
        <v/>
      </c>
      <c r="D22" s="67" t="str">
        <f aca="false">IF(Lists!$C$29=0,"",IF(Lists!$C$29&gt;1,"⚠ Double-booked",INDEX(Bookings!$F:$F,Lists!$C$11)))</f>
        <v/>
      </c>
      <c r="E22" s="67" t="str">
        <f aca="false">IF(Lists!$D$29=0,"",IF(Lists!$D$29&gt;1,"⚠ Double-booked",INDEX(Bookings!$F:$F,Lists!$D$11)))</f>
        <v/>
      </c>
      <c r="F22" s="67" t="str">
        <f aca="false">IF(Lists!$E$29=0,"",IF(Lists!$E$29&gt;1,"⚠ Double-booked",INDEX(Bookings!$F:$F,Lists!$E$11)))</f>
        <v>Noah Bennett</v>
      </c>
      <c r="G22" s="67" t="str">
        <f aca="false">IF(Lists!$F$29=0,"",IF(Lists!$F$29&gt;1,"⚠ Double-booked",INDEX(Bookings!$F:$F,Lists!$F$11)))</f>
        <v/>
      </c>
      <c r="H22" s="67" t="str">
        <f aca="false">IF(Lists!$G$29=0,"",IF(Lists!$G$29&gt;1,"⚠ Double-booked",INDEX(Bookings!$F:$F,Lists!$G$11)))</f>
        <v/>
      </c>
      <c r="I22" s="67" t="str">
        <f aca="false">IF(Lists!$H$29=0,"",IF(Lists!$H$29&gt;1,"⚠ Double-booked",INDEX(Bookings!$F:$F,Lists!$H$11)))</f>
        <v/>
      </c>
      <c r="J22" s="67" t="str">
        <f aca="false">IF(Lists!$I$29=0,"",IF(Lists!$I$29&gt;1,"⚠ Double-booked",INDEX(Bookings!$F:$F,Lists!$I$11)))</f>
        <v/>
      </c>
      <c r="K22" s="67" t="str">
        <f aca="false">IF(Lists!$J$29=0,"",IF(Lists!$J$29&gt;1,"⚠ Double-booked",INDEX(Bookings!$F:$F,Lists!$J$11)))</f>
        <v/>
      </c>
      <c r="L22" s="67" t="str">
        <f aca="false">IF(Lists!$K$29=0,"",IF(Lists!$K$29&gt;1,"⚠ Double-booked",INDEX(Bookings!$F:$F,Lists!$K$11)))</f>
        <v>Elena Costa</v>
      </c>
    </row>
    <row r="23" customFormat="false" ht="18.75" hidden="false" customHeight="true" outlineLevel="0" collapsed="false">
      <c r="B23" s="66" t="n">
        <f aca="false">Lists!$A$12</f>
        <v>0.5625</v>
      </c>
      <c r="C23" s="67" t="str">
        <f aca="false">IF(Lists!$B$30=0,"",IF(Lists!$B$30&gt;1,"⚠ Double-booked",INDEX(Bookings!$F:$F,Lists!$B$12)))</f>
        <v/>
      </c>
      <c r="D23" s="67" t="str">
        <f aca="false">IF(Lists!$C$30=0,"",IF(Lists!$C$30&gt;1,"⚠ Double-booked",INDEX(Bookings!$F:$F,Lists!$C$12)))</f>
        <v/>
      </c>
      <c r="E23" s="67" t="str">
        <f aca="false">IF(Lists!$D$30=0,"",IF(Lists!$D$30&gt;1,"⚠ Double-booked",INDEX(Bookings!$F:$F,Lists!$D$12)))</f>
        <v/>
      </c>
      <c r="F23" s="67" t="str">
        <f aca="false">IF(Lists!$E$30=0,"",IF(Lists!$E$30&gt;1,"⚠ Double-booked",INDEX(Bookings!$F:$F,Lists!$E$12)))</f>
        <v>Noah Bennett</v>
      </c>
      <c r="G23" s="67" t="str">
        <f aca="false">IF(Lists!$F$30=0,"",IF(Lists!$F$30&gt;1,"⚠ Double-booked",INDEX(Bookings!$F:$F,Lists!$F$12)))</f>
        <v/>
      </c>
      <c r="H23" s="67" t="str">
        <f aca="false">IF(Lists!$G$30=0,"",IF(Lists!$G$30&gt;1,"⚠ Double-booked",INDEX(Bookings!$F:$F,Lists!$G$12)))</f>
        <v/>
      </c>
      <c r="I23" s="67" t="str">
        <f aca="false">IF(Lists!$H$30=0,"",IF(Lists!$H$30&gt;1,"⚠ Double-booked",INDEX(Bookings!$F:$F,Lists!$H$12)))</f>
        <v/>
      </c>
      <c r="J23" s="67" t="str">
        <f aca="false">IF(Lists!$I$30=0,"",IF(Lists!$I$30&gt;1,"⚠ Double-booked",INDEX(Bookings!$F:$F,Lists!$I$12)))</f>
        <v/>
      </c>
      <c r="K23" s="67" t="str">
        <f aca="false">IF(Lists!$J$30=0,"",IF(Lists!$J$30&gt;1,"⚠ Double-booked",INDEX(Bookings!$F:$F,Lists!$J$12)))</f>
        <v/>
      </c>
      <c r="L23" s="67" t="str">
        <f aca="false">IF(Lists!$K$30=0,"",IF(Lists!$K$30&gt;1,"⚠ Double-booked",INDEX(Bookings!$F:$F,Lists!$K$12)))</f>
        <v/>
      </c>
    </row>
    <row r="24" customFormat="false" ht="18.75" hidden="false" customHeight="true" outlineLevel="0" collapsed="false">
      <c r="B24" s="66" t="n">
        <f aca="false">Lists!$A$13</f>
        <v>0.583333333333333</v>
      </c>
      <c r="C24" s="67" t="str">
        <f aca="false">IF(Lists!$B$31=0,"",IF(Lists!$B$31&gt;1,"⚠ Double-booked",INDEX(Bookings!$F:$F,Lists!$B$13)))</f>
        <v/>
      </c>
      <c r="D24" s="67" t="str">
        <f aca="false">IF(Lists!$C$31=0,"",IF(Lists!$C$31&gt;1,"⚠ Double-booked",INDEX(Bookings!$F:$F,Lists!$C$13)))</f>
        <v/>
      </c>
      <c r="E24" s="67" t="str">
        <f aca="false">IF(Lists!$D$31=0,"",IF(Lists!$D$31&gt;1,"⚠ Double-booked",INDEX(Bookings!$F:$F,Lists!$D$13)))</f>
        <v/>
      </c>
      <c r="F24" s="67" t="str">
        <f aca="false">IF(Lists!$E$31=0,"",IF(Lists!$E$31&gt;1,"⚠ Double-booked",INDEX(Bookings!$F:$F,Lists!$E$13)))</f>
        <v>Felix Brandt</v>
      </c>
      <c r="G24" s="67" t="str">
        <f aca="false">IF(Lists!$F$31=0,"",IF(Lists!$F$31&gt;1,"⚠ Double-booked",INDEX(Bookings!$F:$F,Lists!$F$13)))</f>
        <v>Mia Okafor</v>
      </c>
      <c r="H24" s="67" t="str">
        <f aca="false">IF(Lists!$G$31=0,"",IF(Lists!$G$31&gt;1,"⚠ Double-booked",INDEX(Bookings!$F:$F,Lists!$G$13)))</f>
        <v/>
      </c>
      <c r="I24" s="67" t="str">
        <f aca="false">IF(Lists!$H$31=0,"",IF(Lists!$H$31&gt;1,"⚠ Double-booked",INDEX(Bookings!$F:$F,Lists!$H$13)))</f>
        <v/>
      </c>
      <c r="J24" s="67" t="str">
        <f aca="false">IF(Lists!$I$31=0,"",IF(Lists!$I$31&gt;1,"⚠ Double-booked",INDEX(Bookings!$F:$F,Lists!$I$13)))</f>
        <v/>
      </c>
      <c r="K24" s="67" t="str">
        <f aca="false">IF(Lists!$J$31=0,"",IF(Lists!$J$31&gt;1,"⚠ Double-booked",INDEX(Bookings!$F:$F,Lists!$J$13)))</f>
        <v>Sofia Ramirez</v>
      </c>
      <c r="L24" s="67" t="str">
        <f aca="false">IF(Lists!$K$31=0,"",IF(Lists!$K$31&gt;1,"⚠ Double-booked",INDEX(Bookings!$F:$F,Lists!$K$13)))</f>
        <v/>
      </c>
    </row>
    <row r="25" customFormat="false" ht="18.75" hidden="false" customHeight="true" outlineLevel="0" collapsed="false">
      <c r="B25" s="66" t="n">
        <f aca="false">Lists!$A$14</f>
        <v>0.604166666666667</v>
      </c>
      <c r="C25" s="67" t="str">
        <f aca="false">IF(Lists!$B$32=0,"",IF(Lists!$B$32&gt;1,"⚠ Double-booked",INDEX(Bookings!$F:$F,Lists!$B$14)))</f>
        <v/>
      </c>
      <c r="D25" s="67" t="str">
        <f aca="false">IF(Lists!$C$32=0,"",IF(Lists!$C$32&gt;1,"⚠ Double-booked",INDEX(Bookings!$F:$F,Lists!$C$14)))</f>
        <v>Isla Petrova</v>
      </c>
      <c r="E25" s="67" t="str">
        <f aca="false">IF(Lists!$D$32=0,"",IF(Lists!$D$32&gt;1,"⚠ Double-booked",INDEX(Bookings!$F:$F,Lists!$D$14)))</f>
        <v>Noah Bennett</v>
      </c>
      <c r="F25" s="67" t="str">
        <f aca="false">IF(Lists!$E$32=0,"",IF(Lists!$E$32&gt;1,"⚠ Double-booked",INDEX(Bookings!$F:$F,Lists!$E$14)))</f>
        <v>Felix Brandt</v>
      </c>
      <c r="G25" s="67" t="str">
        <f aca="false">IF(Lists!$F$32=0,"",IF(Lists!$F$32&gt;1,"⚠ Double-booked",INDEX(Bookings!$F:$F,Lists!$F$14)))</f>
        <v>Mia Okafor</v>
      </c>
      <c r="H25" s="67" t="str">
        <f aca="false">IF(Lists!$G$32=0,"",IF(Lists!$G$32&gt;1,"⚠ Double-booked",INDEX(Bookings!$F:$F,Lists!$G$14)))</f>
        <v/>
      </c>
      <c r="I25" s="67" t="str">
        <f aca="false">IF(Lists!$H$32=0,"",IF(Lists!$H$32&gt;1,"⚠ Double-booked",INDEX(Bookings!$F:$F,Lists!$H$14)))</f>
        <v/>
      </c>
      <c r="J25" s="67" t="str">
        <f aca="false">IF(Lists!$I$32=0,"",IF(Lists!$I$32&gt;1,"⚠ Double-booked",INDEX(Bookings!$F:$F,Lists!$I$14)))</f>
        <v/>
      </c>
      <c r="K25" s="67" t="str">
        <f aca="false">IF(Lists!$J$32=0,"",IF(Lists!$J$32&gt;1,"⚠ Double-booked",INDEX(Bookings!$F:$F,Lists!$J$14)))</f>
        <v>Sofia Ramirez</v>
      </c>
      <c r="L25" s="67" t="str">
        <f aca="false">IF(Lists!$K$32=0,"",IF(Lists!$K$32&gt;1,"⚠ Double-booked",INDEX(Bookings!$F:$F,Lists!$K$14)))</f>
        <v/>
      </c>
    </row>
    <row r="26" customFormat="false" ht="18.75" hidden="false" customHeight="true" outlineLevel="0" collapsed="false">
      <c r="B26" s="66" t="n">
        <f aca="false">Lists!$A$15</f>
        <v>0.625</v>
      </c>
      <c r="C26" s="67" t="str">
        <f aca="false">IF(Lists!$B$33=0,"",IF(Lists!$B$33&gt;1,"⚠ Double-booked",INDEX(Bookings!$F:$F,Lists!$B$15)))</f>
        <v/>
      </c>
      <c r="D26" s="67" t="str">
        <f aca="false">IF(Lists!$C$33=0,"",IF(Lists!$C$33&gt;1,"⚠ Double-booked",INDEX(Bookings!$F:$F,Lists!$C$15)))</f>
        <v>Isla Petrova</v>
      </c>
      <c r="E26" s="67" t="str">
        <f aca="false">IF(Lists!$D$33=0,"",IF(Lists!$D$33&gt;1,"⚠ Double-booked",INDEX(Bookings!$F:$F,Lists!$D$15)))</f>
        <v>Noah Bennett</v>
      </c>
      <c r="F26" s="67" t="str">
        <f aca="false">IF(Lists!$E$33=0,"",IF(Lists!$E$33&gt;1,"⚠ Double-booked",INDEX(Bookings!$F:$F,Lists!$E$15)))</f>
        <v>Hana Kim</v>
      </c>
      <c r="G26" s="67" t="str">
        <f aca="false">IF(Lists!$F$33=0,"",IF(Lists!$F$33&gt;1,"⚠ Double-booked",INDEX(Bookings!$F:$F,Lists!$F$15)))</f>
        <v/>
      </c>
      <c r="H26" s="67" t="str">
        <f aca="false">IF(Lists!$G$33=0,"",IF(Lists!$G$33&gt;1,"⚠ Double-booked",INDEX(Bookings!$F:$F,Lists!$G$15)))</f>
        <v>Chloe Dubois</v>
      </c>
      <c r="I26" s="67" t="str">
        <f aca="false">IF(Lists!$H$33=0,"",IF(Lists!$H$33&gt;1,"⚠ Double-booked",INDEX(Bookings!$F:$F,Lists!$H$15)))</f>
        <v/>
      </c>
      <c r="J26" s="67" t="str">
        <f aca="false">IF(Lists!$I$33=0,"",IF(Lists!$I$33&gt;1,"⚠ Double-booked",INDEX(Bookings!$F:$F,Lists!$I$15)))</f>
        <v/>
      </c>
      <c r="K26" s="67" t="str">
        <f aca="false">IF(Lists!$J$33=0,"",IF(Lists!$J$33&gt;1,"⚠ Double-booked",INDEX(Bookings!$F:$F,Lists!$J$15)))</f>
        <v/>
      </c>
      <c r="L26" s="67" t="str">
        <f aca="false">IF(Lists!$K$33=0,"",IF(Lists!$K$33&gt;1,"⚠ Double-booked",INDEX(Bookings!$F:$F,Lists!$K$15)))</f>
        <v>Marcus Bell</v>
      </c>
    </row>
    <row r="27" customFormat="false" ht="18.75" hidden="false" customHeight="true" outlineLevel="0" collapsed="false">
      <c r="B27" s="66" t="n">
        <f aca="false">Lists!$A$16</f>
        <v>0.645833333333333</v>
      </c>
      <c r="C27" s="67" t="str">
        <f aca="false">IF(Lists!$B$34=0,"",IF(Lists!$B$34&gt;1,"⚠ Double-booked",INDEX(Bookings!$F:$F,Lists!$B$16)))</f>
        <v/>
      </c>
      <c r="D27" s="67" t="str">
        <f aca="false">IF(Lists!$C$34=0,"",IF(Lists!$C$34&gt;1,"⚠ Double-booked",INDEX(Bookings!$F:$F,Lists!$C$16)))</f>
        <v>Isla Petrova</v>
      </c>
      <c r="E27" s="67" t="str">
        <f aca="false">IF(Lists!$D$34=0,"",IF(Lists!$D$34&gt;1,"⚠ Double-booked",INDEX(Bookings!$F:$F,Lists!$D$16)))</f>
        <v>Omar Farouk</v>
      </c>
      <c r="F27" s="67" t="str">
        <f aca="false">IF(Lists!$E$34=0,"",IF(Lists!$E$34&gt;1,"⚠ Double-booked",INDEX(Bookings!$F:$F,Lists!$E$16)))</f>
        <v>Hana Kim</v>
      </c>
      <c r="G27" s="67" t="str">
        <f aca="false">IF(Lists!$F$34=0,"",IF(Lists!$F$34&gt;1,"⚠ Double-booked",INDEX(Bookings!$F:$F,Lists!$F$16)))</f>
        <v/>
      </c>
      <c r="H27" s="67" t="str">
        <f aca="false">IF(Lists!$G$34=0,"",IF(Lists!$G$34&gt;1,"⚠ Double-booked",INDEX(Bookings!$F:$F,Lists!$G$16)))</f>
        <v>Chloe Dubois</v>
      </c>
      <c r="I27" s="67" t="str">
        <f aca="false">IF(Lists!$H$34=0,"",IF(Lists!$H$34&gt;1,"⚠ Double-booked",INDEX(Bookings!$F:$F,Lists!$H$16)))</f>
        <v/>
      </c>
      <c r="J27" s="67" t="str">
        <f aca="false">IF(Lists!$I$34=0,"",IF(Lists!$I$34&gt;1,"⚠ Double-booked",INDEX(Bookings!$F:$F,Lists!$I$16)))</f>
        <v/>
      </c>
      <c r="K27" s="67" t="str">
        <f aca="false">IF(Lists!$J$34=0,"",IF(Lists!$J$34&gt;1,"⚠ Double-booked",INDEX(Bookings!$F:$F,Lists!$J$16)))</f>
        <v/>
      </c>
      <c r="L27" s="67" t="str">
        <f aca="false">IF(Lists!$K$34=0,"",IF(Lists!$K$34&gt;1,"⚠ Double-booked",INDEX(Bookings!$F:$F,Lists!$K$16)))</f>
        <v>Marcus Bell</v>
      </c>
    </row>
    <row r="28" customFormat="false" ht="18.75" hidden="false" customHeight="true" outlineLevel="0" collapsed="false">
      <c r="B28" s="66" t="n">
        <f aca="false">Lists!$A$17</f>
        <v>0.666666666666667</v>
      </c>
      <c r="C28" s="67" t="str">
        <f aca="false">IF(Lists!$B$35=0,"",IF(Lists!$B$35&gt;1,"⚠ Double-booked",INDEX(Bookings!$F:$F,Lists!$B$17)))</f>
        <v/>
      </c>
      <c r="D28" s="67" t="str">
        <f aca="false">IF(Lists!$C$35=0,"",IF(Lists!$C$35&gt;1,"⚠ Double-booked",INDEX(Bookings!$F:$F,Lists!$C$17)))</f>
        <v>Isla Petrova</v>
      </c>
      <c r="E28" s="67" t="str">
        <f aca="false">IF(Lists!$D$35=0,"",IF(Lists!$D$35&gt;1,"⚠ Double-booked",INDEX(Bookings!$F:$F,Lists!$D$17)))</f>
        <v/>
      </c>
      <c r="F28" s="67" t="str">
        <f aca="false">IF(Lists!$E$35=0,"",IF(Lists!$E$35&gt;1,"⚠ Double-booked",INDEX(Bookings!$F:$F,Lists!$E$17)))</f>
        <v>Hana Kim</v>
      </c>
      <c r="G28" s="67" t="str">
        <f aca="false">IF(Lists!$F$35=0,"",IF(Lists!$F$35&gt;1,"⚠ Double-booked",INDEX(Bookings!$F:$F,Lists!$F$17)))</f>
        <v/>
      </c>
      <c r="H28" s="67" t="str">
        <f aca="false">IF(Lists!$G$35=0,"",IF(Lists!$G$35&gt;1,"⚠ Double-booked",INDEX(Bookings!$F:$F,Lists!$G$17)))</f>
        <v/>
      </c>
      <c r="I28" s="67" t="str">
        <f aca="false">IF(Lists!$H$35=0,"",IF(Lists!$H$35&gt;1,"⚠ Double-booked",INDEX(Bookings!$F:$F,Lists!$H$17)))</f>
        <v/>
      </c>
      <c r="J28" s="67" t="str">
        <f aca="false">IF(Lists!$I$35=0,"",IF(Lists!$I$35&gt;1,"⚠ Double-booked",INDEX(Bookings!$F:$F,Lists!$I$17)))</f>
        <v/>
      </c>
      <c r="K28" s="67" t="str">
        <f aca="false">IF(Lists!$J$35=0,"",IF(Lists!$J$35&gt;1,"⚠ Double-booked",INDEX(Bookings!$F:$F,Lists!$J$17)))</f>
        <v/>
      </c>
      <c r="L28" s="67" t="str">
        <f aca="false">IF(Lists!$K$35=0,"",IF(Lists!$K$35&gt;1,"⚠ Double-booked",INDEX(Bookings!$F:$F,Lists!$K$17)))</f>
        <v/>
      </c>
    </row>
    <row r="29" customFormat="false" ht="18.75" hidden="false" customHeight="true" outlineLevel="0" collapsed="false">
      <c r="B29" s="66" t="n">
        <f aca="false">Lists!$A$18</f>
        <v>0.6875</v>
      </c>
      <c r="C29" s="67" t="str">
        <f aca="false">IF(Lists!$B$36=0,"",IF(Lists!$B$36&gt;1,"⚠ Double-booked",INDEX(Bookings!$F:$F,Lists!$B$18)))</f>
        <v/>
      </c>
      <c r="D29" s="67" t="str">
        <f aca="false">IF(Lists!$C$36=0,"",IF(Lists!$C$36&gt;1,"⚠ Double-booked",INDEX(Bookings!$F:$F,Lists!$C$18)))</f>
        <v/>
      </c>
      <c r="E29" s="67" t="str">
        <f aca="false">IF(Lists!$D$36=0,"",IF(Lists!$D$36&gt;1,"⚠ Double-booked",INDEX(Bookings!$F:$F,Lists!$D$18)))</f>
        <v/>
      </c>
      <c r="F29" s="67" t="str">
        <f aca="false">IF(Lists!$E$36=0,"",IF(Lists!$E$36&gt;1,"⚠ Double-booked",INDEX(Bookings!$F:$F,Lists!$E$18)))</f>
        <v/>
      </c>
      <c r="G29" s="67" t="str">
        <f aca="false">IF(Lists!$F$36=0,"",IF(Lists!$F$36&gt;1,"⚠ Double-booked",INDEX(Bookings!$F:$F,Lists!$F$18)))</f>
        <v/>
      </c>
      <c r="H29" s="67" t="str">
        <f aca="false">IF(Lists!$G$36=0,"",IF(Lists!$G$36&gt;1,"⚠ Double-booked",INDEX(Bookings!$F:$F,Lists!$G$18)))</f>
        <v/>
      </c>
      <c r="I29" s="67" t="str">
        <f aca="false">IF(Lists!$H$36=0,"",IF(Lists!$H$36&gt;1,"⚠ Double-booked",INDEX(Bookings!$F:$F,Lists!$H$18)))</f>
        <v/>
      </c>
      <c r="J29" s="67" t="str">
        <f aca="false">IF(Lists!$I$36=0,"",IF(Lists!$I$36&gt;1,"⚠ Double-booked",INDEX(Bookings!$F:$F,Lists!$I$18)))</f>
        <v/>
      </c>
      <c r="K29" s="67" t="str">
        <f aca="false">IF(Lists!$J$36=0,"",IF(Lists!$J$36&gt;1,"⚠ Double-booked",INDEX(Bookings!$F:$F,Lists!$J$18)))</f>
        <v/>
      </c>
      <c r="L29" s="67" t="str">
        <f aca="false">IF(Lists!$K$36=0,"",IF(Lists!$K$36&gt;1,"⚠ Double-booked",INDEX(Bookings!$F:$F,Lists!$K$18)))</f>
        <v/>
      </c>
    </row>
    <row r="30" customFormat="false" ht="15" hidden="false" customHeight="false" outlineLevel="0" collapsed="false">
      <c r="B30" s="17" t="s">
        <v>171</v>
      </c>
      <c r="C30" s="17"/>
      <c r="D30" s="17"/>
      <c r="E30" s="17"/>
      <c r="F30" s="17"/>
      <c r="G30" s="17"/>
      <c r="H30" s="17"/>
      <c r="I30" s="17"/>
      <c r="J30" s="17"/>
      <c r="K30" s="17"/>
      <c r="L30" s="17"/>
    </row>
    <row r="31" customFormat="false" ht="15" hidden="false" customHeight="false" outlineLevel="0" collapsed="false">
      <c r="B31" s="17" t="s">
        <v>172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</row>
  </sheetData>
  <mergeCells count="10">
    <mergeCell ref="B1:G1"/>
    <mergeCell ref="H1:L1"/>
    <mergeCell ref="B3:F3"/>
    <mergeCell ref="H3:L3"/>
    <mergeCell ref="B5:C5"/>
    <mergeCell ref="E5:J5"/>
    <mergeCell ref="B10:L10"/>
    <mergeCell ref="B12:L12"/>
    <mergeCell ref="B30:L30"/>
    <mergeCell ref="B31:L31"/>
  </mergeCells>
  <conditionalFormatting sqref="C14:L29">
    <cfRule type="expression" priority="2" aboveAverage="0" equalAverage="0" bottom="0" percent="0" rank="0" text="" dxfId="0">
      <formula>LEFT(C14,1)="⚠"</formula>
    </cfRule>
    <cfRule type="expression" priority="3" aboveAverage="0" equalAverage="0" bottom="0" percent="0" rank="0" text="" dxfId="5">
      <formula>C14&lt;&gt;""</formula>
    </cfRule>
  </conditionalFormatting>
  <dataValidations count="1">
    <dataValidation allowBlank="true" errorStyle="stop" operator="between" showDropDown="false" showErrorMessage="false" showInputMessage="false" sqref="D5" type="list">
      <formula1>Setup!$C$16:$C$27</formula1>
      <formula2>0</formula2>
    </dataValidation>
  </dataValidations>
  <hyperlinks>
    <hyperlink ref="H1" r:id="rId1" display="Book a live demo  →  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52866"/>
    <pageSetUpPr fitToPage="false"/>
  </sheetPr>
  <dimension ref="B1:J12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5"/>
    <col collapsed="false" customWidth="true" hidden="false" outlineLevel="0" max="2" min="2" style="0" width="26"/>
    <col collapsed="false" customWidth="true" hidden="false" outlineLevel="0" max="6" min="3" style="0" width="12"/>
    <col collapsed="false" customWidth="true" hidden="false" outlineLevel="0" max="8" min="7" style="0" width="13"/>
    <col collapsed="false" customWidth="true" hidden="false" outlineLevel="0" max="9" min="9" style="0" width="26"/>
    <col collapsed="false" customWidth="true" hidden="false" outlineLevel="0" max="10" min="10" style="0" width="12"/>
    <col collapsed="false" customWidth="true" hidden="false" outlineLevel="0" max="11" min="11" style="0" width="3"/>
  </cols>
  <sheetData>
    <row r="1" customFormat="false" ht="21.75" hidden="false" customHeight="true" outlineLevel="0" collapsed="false">
      <c r="B1" s="34" t="s">
        <v>173</v>
      </c>
      <c r="C1" s="34"/>
      <c r="D1" s="34"/>
      <c r="E1" s="34"/>
      <c r="F1" s="34"/>
      <c r="G1" s="34"/>
      <c r="H1" s="35" t="s">
        <v>112</v>
      </c>
      <c r="I1" s="35"/>
      <c r="J1" s="35"/>
    </row>
    <row r="2" customFormat="false" ht="9.75" hidden="false" customHeight="true" outlineLevel="0" collapsed="false"/>
    <row r="3" customFormat="false" ht="27.75" hidden="false" customHeight="true" outlineLevel="0" collapsed="false">
      <c r="B3" s="53" t="str">
        <f aca="false">"        "&amp;CompanyName&amp;" — Meeting Room Dashboard"</f>
        <v>        Acme Corp — Meeting Room Dashboard</v>
      </c>
      <c r="C3" s="53"/>
      <c r="D3" s="53"/>
      <c r="E3" s="53"/>
      <c r="F3" s="53"/>
      <c r="G3" s="53"/>
      <c r="H3" s="54" t="str">
        <f aca="false">"Two weeks from "&amp;TEXT(ScheduleStart,"d mmm yyyy")&amp;"  "</f>
        <v>Two weeks from 3 Aug 2026  </v>
      </c>
      <c r="I3" s="54"/>
      <c r="J3" s="54"/>
    </row>
    <row r="4" customFormat="false" ht="12" hidden="false" customHeight="true" outlineLevel="0" collapsed="false"/>
    <row r="5" customFormat="false" ht="18" hidden="false" customHeight="true" outlineLevel="0" collapsed="false">
      <c r="B5" s="59" t="s">
        <v>117</v>
      </c>
      <c r="C5" s="58" t="s">
        <v>116</v>
      </c>
      <c r="D5" s="58" t="s">
        <v>156</v>
      </c>
      <c r="E5" s="58" t="s">
        <v>174</v>
      </c>
      <c r="F5" s="59" t="s">
        <v>175</v>
      </c>
      <c r="G5" s="58" t="s">
        <v>118</v>
      </c>
      <c r="H5" s="58" t="s">
        <v>176</v>
      </c>
    </row>
    <row r="6" customFormat="false" ht="37.5" hidden="false" customHeight="true" outlineLevel="0" collapsed="false">
      <c r="B6" s="69" t="n">
        <f aca="false">IF(TotalRooms*BookableHours=0,0,SUM(BkHours)/(TotalRooms*BookableHours*10))</f>
        <v>0.215625</v>
      </c>
      <c r="C6" s="70" t="n">
        <f aca="false">SUM(BkHours)</f>
        <v>103.5</v>
      </c>
      <c r="D6" s="71" t="n">
        <f aca="false">COUNTIF(BkStatus,"?*")</f>
        <v>120</v>
      </c>
      <c r="E6" s="70" t="n">
        <f aca="false">IFERROR(AVERAGE(BkHours),0)</f>
        <v>0.8625</v>
      </c>
      <c r="F6" s="69" t="n">
        <f aca="false">IF(COUNTIF(BkShow,"Yes")+COUNTIF(BkShow,"No-show")=0,"—",COUNTIF(BkShow,"No-show")/(COUNTIF(BkShow,"Yes")+COUNTIF(BkShow,"No-show")))</f>
        <v>0.116666666666667</v>
      </c>
      <c r="G6" s="71" t="n">
        <f aca="false">COUNTIF(BkStatus,"Conflict")</f>
        <v>0</v>
      </c>
      <c r="H6" s="72" t="n">
        <f aca="false">IF(COUNTIF(BkStatus,"?*")=0,0,(COUNTIF(BkShow,"Yes")+COUNTIF(BkShow,"No-show"))/COUNTIF(BkStatus,"?*"))</f>
        <v>0.5</v>
      </c>
    </row>
    <row r="7" customFormat="false" ht="7.5" hidden="false" customHeight="true" outlineLevel="0" collapsed="false"/>
    <row r="8" customFormat="false" ht="18" hidden="false" customHeight="true" outlineLevel="0" collapsed="false">
      <c r="B8" s="58" t="s">
        <v>177</v>
      </c>
      <c r="C8" s="58" t="s">
        <v>178</v>
      </c>
      <c r="D8" s="58" t="s">
        <v>168</v>
      </c>
      <c r="E8" s="58" t="s">
        <v>179</v>
      </c>
      <c r="F8" s="59" t="s">
        <v>180</v>
      </c>
      <c r="G8" s="59" t="s">
        <v>181</v>
      </c>
      <c r="H8" s="58" t="s">
        <v>182</v>
      </c>
    </row>
    <row r="9" customFormat="false" ht="37.5" hidden="false" customHeight="true" outlineLevel="0" collapsed="false">
      <c r="B9" s="71" t="n">
        <f aca="false">TotalRooms</f>
        <v>6</v>
      </c>
      <c r="C9" s="71" t="n">
        <f aca="false">SUM(RoomSeats)</f>
        <v>46</v>
      </c>
      <c r="D9" s="70" t="n">
        <f aca="false">IFERROR(AVERAGE(BkAtt),0)</f>
        <v>3.725</v>
      </c>
      <c r="E9" s="70" t="n">
        <f aca="false">IFERROR(AVERAGEIF(BkRoom,"?*",BkSeats),0)</f>
        <v>7.5</v>
      </c>
      <c r="F9" s="73" t="n">
        <f aca="false">IFERROR(AVERAGEIF(BkRoom,"?*",BkSeats)-AVERAGE(BkAtt),0)</f>
        <v>3.775</v>
      </c>
      <c r="G9" s="69" t="n">
        <f aca="false">IF(COUNTIF(BkFit,"?*")=0,0,COUNTIF(BkFit,"Oversized room")/COUNTIF(BkFit,"?*"))</f>
        <v>0.4</v>
      </c>
      <c r="H9" s="63" t="str">
        <f aca="false">IFERROR(INDEX($B$38:$B$42,MATCH(MAX($E$38:$E$42),$E$38:$E$42,0)),"—")</f>
        <v>Tuesday</v>
      </c>
    </row>
    <row r="10" customFormat="false" ht="12" hidden="false" customHeight="true" outlineLevel="0" collapsed="false"/>
    <row r="11" customFormat="false" ht="21.75" hidden="false" customHeight="true" outlineLevel="0" collapsed="false">
      <c r="B11" s="5" t="s">
        <v>183</v>
      </c>
      <c r="C11" s="5"/>
      <c r="D11" s="5"/>
      <c r="E11" s="5"/>
      <c r="F11" s="5"/>
      <c r="G11" s="5"/>
      <c r="H11" s="5"/>
      <c r="I11" s="5"/>
    </row>
    <row r="12" customFormat="false" ht="18" hidden="false" customHeight="true" outlineLevel="0" collapsed="false">
      <c r="B12" s="74" t="s">
        <v>184</v>
      </c>
      <c r="C12" s="75" t="n">
        <f aca="false">SUMPRODUCT((BkAtt&lt;&gt;"")*(BkAtt&lt;=2)*(BkRoom&lt;&gt;""))</f>
        <v>50</v>
      </c>
      <c r="D12" s="76" t="n">
        <f aca="false">IF(COUNTIF(BkStatus,"?*")=0,"",C12/COUNTIF(BkStatus,"?*"))</f>
        <v>0.416666666666667</v>
      </c>
      <c r="E12" s="17" t="s">
        <v>185</v>
      </c>
      <c r="F12" s="17"/>
      <c r="G12" s="17"/>
      <c r="H12" s="17"/>
      <c r="I12" s="17"/>
    </row>
    <row r="13" customFormat="false" ht="18" hidden="false" customHeight="true" outlineLevel="0" collapsed="false">
      <c r="B13" s="74" t="s">
        <v>186</v>
      </c>
      <c r="C13" s="75" t="n">
        <f aca="false">SUMPRODUCT((BkAtt&gt;=3)*(BkAtt&lt;=5)*(BkRoom&lt;&gt;""))</f>
        <v>48</v>
      </c>
      <c r="D13" s="76" t="n">
        <f aca="false">IF(COUNTIF(BkStatus,"?*")=0,"",C13/COUNTIF(BkStatus,"?*"))</f>
        <v>0.4</v>
      </c>
      <c r="E13" s="17" t="s">
        <v>187</v>
      </c>
      <c r="F13" s="17"/>
      <c r="G13" s="17"/>
      <c r="H13" s="17"/>
      <c r="I13" s="17"/>
    </row>
    <row r="14" customFormat="false" ht="18" hidden="false" customHeight="true" outlineLevel="0" collapsed="false">
      <c r="B14" s="74" t="s">
        <v>188</v>
      </c>
      <c r="C14" s="75" t="n">
        <f aca="false">SUMPRODUCT((BkAtt&gt;=6)*(BkRoom&lt;&gt;""))</f>
        <v>22</v>
      </c>
      <c r="D14" s="76" t="n">
        <f aca="false">IF(COUNTIF(BkStatus,"?*")=0,"",C14/COUNTIF(BkStatus,"?*"))</f>
        <v>0.183333333333333</v>
      </c>
      <c r="E14" s="17" t="s">
        <v>189</v>
      </c>
      <c r="F14" s="17"/>
      <c r="G14" s="17"/>
      <c r="H14" s="17"/>
      <c r="I14" s="17"/>
    </row>
    <row r="15" customFormat="false" ht="18" hidden="false" customHeight="true" outlineLevel="0" collapsed="false">
      <c r="B15" s="74" t="s">
        <v>190</v>
      </c>
      <c r="C15" s="75" t="n">
        <f aca="false">COUNTIF(BkFit,"Oversized room")</f>
        <v>48</v>
      </c>
      <c r="D15" s="76" t="n">
        <f aca="false">IF(COUNTIF(BkStatus,"?*")=0,"",C15/COUNTIF(BkStatus,"?*"))</f>
        <v>0.4</v>
      </c>
      <c r="E15" s="17" t="s">
        <v>191</v>
      </c>
      <c r="F15" s="17"/>
      <c r="G15" s="17"/>
      <c r="H15" s="17"/>
      <c r="I15" s="17"/>
    </row>
    <row r="16" customFormat="false" ht="18" hidden="false" customHeight="true" outlineLevel="0" collapsed="false">
      <c r="B16" s="74" t="s">
        <v>192</v>
      </c>
      <c r="C16" s="75" t="n">
        <f aca="false">COUNTIF(BkFit,"Over capacity")</f>
        <v>0</v>
      </c>
      <c r="D16" s="76" t="n">
        <f aca="false">IF(COUNTIF(BkStatus,"?*")=0,"",C16/COUNTIF(BkStatus,"?*"))</f>
        <v>0</v>
      </c>
      <c r="E16" s="17" t="s">
        <v>193</v>
      </c>
      <c r="F16" s="17"/>
      <c r="G16" s="17"/>
      <c r="H16" s="17"/>
      <c r="I16" s="17"/>
    </row>
    <row r="17" customFormat="false" ht="18" hidden="false" customHeight="true" outlineLevel="0" collapsed="false">
      <c r="B17" s="74" t="s">
        <v>194</v>
      </c>
      <c r="C17" s="75" t="n">
        <f aca="false">COUNTIF(BkShow,"No-show")</f>
        <v>7</v>
      </c>
      <c r="D17" s="76" t="n">
        <f aca="false">IF(COUNTIF(BkStatus,"?*")=0,"",C17/COUNTIF(BkStatus,"?*"))</f>
        <v>0.0583333333333333</v>
      </c>
      <c r="E17" s="17" t="s">
        <v>195</v>
      </c>
      <c r="F17" s="17"/>
      <c r="G17" s="17"/>
      <c r="H17" s="17"/>
      <c r="I17" s="17"/>
    </row>
    <row r="18" customFormat="false" ht="24" hidden="false" customHeight="true" outlineLevel="0" collapsed="false">
      <c r="B18" s="77" t="str">
        <f aca="false">IF(COUNTIF(BkFit,"?*")=0,"  Add attendee numbers on the Bookings tab and this section will tell you whether your rooms are the right size.",IF($G$9&gt;0.3,"⚠  "&amp;TEXT($G$9,"0%")&amp;" of meetings sit in a room at least twice the size they need, and every meeting leaves "&amp;TEXT($F$9,"0.0")&amp;" seats empty. That is a room-mix problem, not a room-count problem — you need more small rooms and fewer big ones.","✓  Most meetings are in a room close to the right size. Average spare seats per meeting: "&amp;TEXT($F$9,"0.0")&amp;"."))</f>
        <v>⚠  40% of meetings sit in a room at least twice the size they need, and every meeting leaves 3.8 seats empty. That is a room-mix problem, not a room-count problem — you need more small rooms and fewer big ones.</v>
      </c>
      <c r="C18" s="77"/>
      <c r="D18" s="77"/>
      <c r="E18" s="77"/>
      <c r="F18" s="77"/>
      <c r="G18" s="77"/>
      <c r="H18" s="77"/>
      <c r="I18" s="77"/>
    </row>
    <row r="19" customFormat="false" ht="15.75" hidden="false" customHeight="true" outlineLevel="0" collapsed="false">
      <c r="B19" s="17" t="s">
        <v>196</v>
      </c>
      <c r="C19" s="17"/>
      <c r="D19" s="17"/>
      <c r="E19" s="17"/>
      <c r="F19" s="17"/>
      <c r="G19" s="17"/>
      <c r="H19" s="17"/>
      <c r="I19" s="17"/>
    </row>
    <row r="20" customFormat="false" ht="12" hidden="false" customHeight="true" outlineLevel="0" collapsed="false"/>
    <row r="21" customFormat="false" ht="21.75" hidden="false" customHeight="true" outlineLevel="0" collapsed="false">
      <c r="B21" s="5" t="s">
        <v>197</v>
      </c>
      <c r="C21" s="5"/>
      <c r="D21" s="5"/>
      <c r="E21" s="5"/>
      <c r="F21" s="5"/>
      <c r="G21" s="5"/>
      <c r="H21" s="5"/>
      <c r="I21" s="5"/>
    </row>
    <row r="22" customFormat="false" ht="19.5" hidden="false" customHeight="true" outlineLevel="0" collapsed="false">
      <c r="B22" s="28" t="s">
        <v>122</v>
      </c>
      <c r="C22" s="28" t="s">
        <v>198</v>
      </c>
      <c r="D22" s="28" t="s">
        <v>199</v>
      </c>
      <c r="E22" s="28" t="s">
        <v>130</v>
      </c>
      <c r="F22" s="28" t="s">
        <v>200</v>
      </c>
      <c r="G22" s="28" t="s">
        <v>201</v>
      </c>
      <c r="H22" s="29" t="s">
        <v>202</v>
      </c>
      <c r="I22" s="29"/>
    </row>
    <row r="23" customFormat="false" ht="16.5" hidden="false" customHeight="true" outlineLevel="0" collapsed="false">
      <c r="B23" s="78" t="n">
        <f aca="false">Lists!$B$2</f>
        <v>46237</v>
      </c>
      <c r="C23" s="52" t="str">
        <f aca="false">TEXT(Lists!$B$2,"dddd")</f>
        <v>Monday</v>
      </c>
      <c r="D23" s="79" t="n">
        <f aca="false">COUNTIF(BkDate,$B23)</f>
        <v>12</v>
      </c>
      <c r="E23" s="80" t="n">
        <f aca="false">SUMIF(BkDate,$B23,BkHours)</f>
        <v>8</v>
      </c>
      <c r="F23" s="81" t="n">
        <f aca="false">IF(TotalRooms*BookableHours=0,0,$E23/(TotalRooms*BookableHours))</f>
        <v>0.166666666666667</v>
      </c>
      <c r="G23" s="82" t="n">
        <f aca="false">COUNTIFS(BkDate,$B23,BkShow,"No-show")</f>
        <v>0</v>
      </c>
      <c r="H23" s="83" t="str">
        <f aca="false">REPT("█",MIN(30,ROUND($F23*30,0)))</f>
        <v>█████</v>
      </c>
      <c r="I23" s="83"/>
    </row>
    <row r="24" customFormat="false" ht="16.5" hidden="false" customHeight="true" outlineLevel="0" collapsed="false">
      <c r="B24" s="78" t="n">
        <f aca="false">Lists!$C$2</f>
        <v>46238</v>
      </c>
      <c r="C24" s="52" t="str">
        <f aca="false">TEXT(Lists!$C$2,"dddd")</f>
        <v>Tuesday</v>
      </c>
      <c r="D24" s="79" t="n">
        <f aca="false">COUNTIF(BkDate,$B24)</f>
        <v>12</v>
      </c>
      <c r="E24" s="80" t="n">
        <f aca="false">SUMIF(BkDate,$B24,BkHours)</f>
        <v>12.5</v>
      </c>
      <c r="F24" s="81" t="n">
        <f aca="false">IF(TotalRooms*BookableHours=0,0,$E24/(TotalRooms*BookableHours))</f>
        <v>0.260416666666667</v>
      </c>
      <c r="G24" s="82" t="n">
        <f aca="false">COUNTIFS(BkDate,$B24,BkShow,"No-show")</f>
        <v>0</v>
      </c>
      <c r="H24" s="83" t="str">
        <f aca="false">REPT("█",MIN(30,ROUND($F24*30,0)))</f>
        <v>████████</v>
      </c>
      <c r="I24" s="83"/>
    </row>
    <row r="25" customFormat="false" ht="16.5" hidden="false" customHeight="true" outlineLevel="0" collapsed="false">
      <c r="B25" s="78" t="n">
        <f aca="false">Lists!$D$2</f>
        <v>46239</v>
      </c>
      <c r="C25" s="52" t="str">
        <f aca="false">TEXT(Lists!$D$2,"dddd")</f>
        <v>Wednesday</v>
      </c>
      <c r="D25" s="79" t="n">
        <f aca="false">COUNTIF(BkDate,$B25)</f>
        <v>12</v>
      </c>
      <c r="E25" s="80" t="n">
        <f aca="false">SUMIF(BkDate,$B25,BkHours)</f>
        <v>10.5</v>
      </c>
      <c r="F25" s="81" t="n">
        <f aca="false">IF(TotalRooms*BookableHours=0,0,$E25/(TotalRooms*BookableHours))</f>
        <v>0.21875</v>
      </c>
      <c r="G25" s="82" t="n">
        <f aca="false">COUNTIFS(BkDate,$B25,BkShow,"No-show")</f>
        <v>2</v>
      </c>
      <c r="H25" s="83" t="str">
        <f aca="false">REPT("█",MIN(30,ROUND($F25*30,0)))</f>
        <v>███████</v>
      </c>
      <c r="I25" s="83"/>
    </row>
    <row r="26" customFormat="false" ht="16.5" hidden="false" customHeight="true" outlineLevel="0" collapsed="false">
      <c r="B26" s="78" t="n">
        <f aca="false">Lists!$E$2</f>
        <v>46240</v>
      </c>
      <c r="C26" s="52" t="str">
        <f aca="false">TEXT(Lists!$E$2,"dddd")</f>
        <v>Thursday</v>
      </c>
      <c r="D26" s="79" t="n">
        <f aca="false">COUNTIF(BkDate,$B26)</f>
        <v>12</v>
      </c>
      <c r="E26" s="80" t="n">
        <f aca="false">SUMIF(BkDate,$B26,BkHours)</f>
        <v>11</v>
      </c>
      <c r="F26" s="81" t="n">
        <f aca="false">IF(TotalRooms*BookableHours=0,0,$E26/(TotalRooms*BookableHours))</f>
        <v>0.229166666666667</v>
      </c>
      <c r="G26" s="82" t="n">
        <f aca="false">COUNTIFS(BkDate,$B26,BkShow,"No-show")</f>
        <v>2</v>
      </c>
      <c r="H26" s="83" t="str">
        <f aca="false">REPT("█",MIN(30,ROUND($F26*30,0)))</f>
        <v>███████</v>
      </c>
      <c r="I26" s="83"/>
    </row>
    <row r="27" customFormat="false" ht="16.5" hidden="false" customHeight="true" outlineLevel="0" collapsed="false">
      <c r="B27" s="78" t="n">
        <f aca="false">Lists!$F$2</f>
        <v>46241</v>
      </c>
      <c r="C27" s="52" t="str">
        <f aca="false">TEXT(Lists!$F$2,"dddd")</f>
        <v>Friday</v>
      </c>
      <c r="D27" s="79" t="n">
        <f aca="false">COUNTIF(BkDate,$B27)</f>
        <v>12</v>
      </c>
      <c r="E27" s="80" t="n">
        <f aca="false">SUMIF(BkDate,$B27,BkHours)</f>
        <v>11.5</v>
      </c>
      <c r="F27" s="81" t="n">
        <f aca="false">IF(TotalRooms*BookableHours=0,0,$E27/(TotalRooms*BookableHours))</f>
        <v>0.239583333333333</v>
      </c>
      <c r="G27" s="82" t="n">
        <f aca="false">COUNTIFS(BkDate,$B27,BkShow,"No-show")</f>
        <v>3</v>
      </c>
      <c r="H27" s="83" t="str">
        <f aca="false">REPT("█",MIN(30,ROUND($F27*30,0)))</f>
        <v>███████</v>
      </c>
      <c r="I27" s="83"/>
    </row>
    <row r="28" customFormat="false" ht="16.5" hidden="false" customHeight="true" outlineLevel="0" collapsed="false">
      <c r="B28" s="78" t="n">
        <f aca="false">Lists!$G$2</f>
        <v>46244</v>
      </c>
      <c r="C28" s="52" t="str">
        <f aca="false">TEXT(Lists!$G$2,"dddd")</f>
        <v>Monday</v>
      </c>
      <c r="D28" s="79" t="n">
        <f aca="false">COUNTIF(BkDate,$B28)</f>
        <v>12</v>
      </c>
      <c r="E28" s="80" t="n">
        <f aca="false">SUMIF(BkDate,$B28,BkHours)</f>
        <v>10.5</v>
      </c>
      <c r="F28" s="81" t="n">
        <f aca="false">IF(TotalRooms*BookableHours=0,0,$E28/(TotalRooms*BookableHours))</f>
        <v>0.21875</v>
      </c>
      <c r="G28" s="82" t="n">
        <f aca="false">COUNTIFS(BkDate,$B28,BkShow,"No-show")</f>
        <v>0</v>
      </c>
      <c r="H28" s="83" t="str">
        <f aca="false">REPT("█",MIN(30,ROUND($F28*30,0)))</f>
        <v>███████</v>
      </c>
      <c r="I28" s="83"/>
    </row>
    <row r="29" customFormat="false" ht="16.5" hidden="false" customHeight="true" outlineLevel="0" collapsed="false">
      <c r="B29" s="78" t="n">
        <f aca="false">Lists!$H$2</f>
        <v>46245</v>
      </c>
      <c r="C29" s="52" t="str">
        <f aca="false">TEXT(Lists!$H$2,"dddd")</f>
        <v>Tuesday</v>
      </c>
      <c r="D29" s="79" t="n">
        <f aca="false">COUNTIF(BkDate,$B29)</f>
        <v>12</v>
      </c>
      <c r="E29" s="80" t="n">
        <f aca="false">SUMIF(BkDate,$B29,BkHours)</f>
        <v>9</v>
      </c>
      <c r="F29" s="81" t="n">
        <f aca="false">IF(TotalRooms*BookableHours=0,0,$E29/(TotalRooms*BookableHours))</f>
        <v>0.1875</v>
      </c>
      <c r="G29" s="82" t="n">
        <f aca="false">COUNTIFS(BkDate,$B29,BkShow,"No-show")</f>
        <v>0</v>
      </c>
      <c r="H29" s="83" t="str">
        <f aca="false">REPT("█",MIN(30,ROUND($F29*30,0)))</f>
        <v>██████</v>
      </c>
      <c r="I29" s="83"/>
    </row>
    <row r="30" customFormat="false" ht="16.5" hidden="false" customHeight="true" outlineLevel="0" collapsed="false">
      <c r="B30" s="78" t="n">
        <f aca="false">Lists!$I$2</f>
        <v>46246</v>
      </c>
      <c r="C30" s="52" t="str">
        <f aca="false">TEXT(Lists!$I$2,"dddd")</f>
        <v>Wednesday</v>
      </c>
      <c r="D30" s="79" t="n">
        <f aca="false">COUNTIF(BkDate,$B30)</f>
        <v>12</v>
      </c>
      <c r="E30" s="80" t="n">
        <f aca="false">SUMIF(BkDate,$B30,BkHours)</f>
        <v>10</v>
      </c>
      <c r="F30" s="81" t="n">
        <f aca="false">IF(TotalRooms*BookableHours=0,0,$E30/(TotalRooms*BookableHours))</f>
        <v>0.208333333333333</v>
      </c>
      <c r="G30" s="82" t="n">
        <f aca="false">COUNTIFS(BkDate,$B30,BkShow,"No-show")</f>
        <v>0</v>
      </c>
      <c r="H30" s="83" t="str">
        <f aca="false">REPT("█",MIN(30,ROUND($F30*30,0)))</f>
        <v>██████</v>
      </c>
      <c r="I30" s="83"/>
    </row>
    <row r="31" customFormat="false" ht="16.5" hidden="false" customHeight="true" outlineLevel="0" collapsed="false">
      <c r="B31" s="78" t="n">
        <f aca="false">Lists!$J$2</f>
        <v>46247</v>
      </c>
      <c r="C31" s="52" t="str">
        <f aca="false">TEXT(Lists!$J$2,"dddd")</f>
        <v>Thursday</v>
      </c>
      <c r="D31" s="79" t="n">
        <f aca="false">COUNTIF(BkDate,$B31)</f>
        <v>12</v>
      </c>
      <c r="E31" s="80" t="n">
        <f aca="false">SUMIF(BkDate,$B31,BkHours)</f>
        <v>10.5</v>
      </c>
      <c r="F31" s="81" t="n">
        <f aca="false">IF(TotalRooms*BookableHours=0,0,$E31/(TotalRooms*BookableHours))</f>
        <v>0.21875</v>
      </c>
      <c r="G31" s="82" t="n">
        <f aca="false">COUNTIFS(BkDate,$B31,BkShow,"No-show")</f>
        <v>0</v>
      </c>
      <c r="H31" s="83" t="str">
        <f aca="false">REPT("█",MIN(30,ROUND($F31*30,0)))</f>
        <v>███████</v>
      </c>
      <c r="I31" s="83"/>
    </row>
    <row r="32" customFormat="false" ht="16.5" hidden="false" customHeight="true" outlineLevel="0" collapsed="false">
      <c r="B32" s="78" t="n">
        <f aca="false">Lists!$K$2</f>
        <v>46248</v>
      </c>
      <c r="C32" s="52" t="str">
        <f aca="false">TEXT(Lists!$K$2,"dddd")</f>
        <v>Friday</v>
      </c>
      <c r="D32" s="79" t="n">
        <f aca="false">COUNTIF(BkDate,$B32)</f>
        <v>12</v>
      </c>
      <c r="E32" s="80" t="n">
        <f aca="false">SUMIF(BkDate,$B32,BkHours)</f>
        <v>10</v>
      </c>
      <c r="F32" s="81" t="n">
        <f aca="false">IF(TotalRooms*BookableHours=0,0,$E32/(TotalRooms*BookableHours))</f>
        <v>0.208333333333333</v>
      </c>
      <c r="G32" s="82" t="n">
        <f aca="false">COUNTIFS(BkDate,$B32,BkShow,"No-show")</f>
        <v>0</v>
      </c>
      <c r="H32" s="83" t="str">
        <f aca="false">REPT("█",MIN(30,ROUND($F32*30,0)))</f>
        <v>██████</v>
      </c>
      <c r="I32" s="83"/>
    </row>
    <row r="33" customFormat="false" ht="16.5" hidden="false" customHeight="true" outlineLevel="0" collapsed="false">
      <c r="B33" s="84" t="s">
        <v>203</v>
      </c>
      <c r="C33" s="85"/>
      <c r="D33" s="26" t="n">
        <f aca="false">SUM(D23:D32)</f>
        <v>120</v>
      </c>
      <c r="E33" s="27" t="n">
        <f aca="false">SUM(E23:E32)</f>
        <v>103.5</v>
      </c>
      <c r="F33" s="86" t="n">
        <f aca="false">IF(TotalRooms*BookableHours=0,0,E33/(TotalRooms*BookableHours*10))</f>
        <v>0.215625</v>
      </c>
      <c r="G33" s="26" t="n">
        <f aca="false">SUM(G23:G32)</f>
        <v>7</v>
      </c>
      <c r="H33" s="87" t="s">
        <v>204</v>
      </c>
      <c r="I33" s="87"/>
    </row>
    <row r="34" customFormat="false" ht="12" hidden="false" customHeight="true" outlineLevel="0" collapsed="false"/>
    <row r="35" customFormat="false" ht="21.75" hidden="false" customHeight="true" outlineLevel="0" collapsed="false">
      <c r="B35" s="5" t="s">
        <v>205</v>
      </c>
      <c r="C35" s="5"/>
      <c r="D35" s="5"/>
      <c r="E35" s="5"/>
      <c r="F35" s="5"/>
      <c r="G35" s="5"/>
      <c r="H35" s="5"/>
      <c r="I35" s="5"/>
    </row>
    <row r="36" customFormat="false" ht="12" hidden="false" customHeight="true" outlineLevel="0" collapsed="false"/>
    <row r="37" customFormat="false" ht="19.5" hidden="false" customHeight="true" outlineLevel="0" collapsed="false">
      <c r="B37" s="28" t="s">
        <v>198</v>
      </c>
      <c r="C37" s="28" t="s">
        <v>199</v>
      </c>
      <c r="D37" s="28" t="s">
        <v>130</v>
      </c>
      <c r="E37" s="28" t="s">
        <v>200</v>
      </c>
      <c r="F37" s="29" t="s">
        <v>206</v>
      </c>
      <c r="G37" s="29"/>
      <c r="H37" s="29"/>
      <c r="I37" s="29"/>
    </row>
    <row r="38" customFormat="false" ht="18" hidden="false" customHeight="true" outlineLevel="0" collapsed="false">
      <c r="B38" s="88" t="s">
        <v>207</v>
      </c>
      <c r="C38" s="79" t="n">
        <f aca="false">D23+D28</f>
        <v>24</v>
      </c>
      <c r="D38" s="80" t="n">
        <f aca="false">E23+E28</f>
        <v>18.5</v>
      </c>
      <c r="E38" s="81" t="n">
        <f aca="false">IF(TotalRooms*BookableHours=0,0,D38/(TotalRooms*BookableHours*2))</f>
        <v>0.192708333333333</v>
      </c>
      <c r="F38" s="83" t="str">
        <f aca="false">REPT("█",MIN(34,ROUND($E38*34,0)))</f>
        <v>███████</v>
      </c>
      <c r="G38" s="83"/>
      <c r="H38" s="83"/>
      <c r="I38" s="83"/>
    </row>
    <row r="39" customFormat="false" ht="18" hidden="false" customHeight="true" outlineLevel="0" collapsed="false">
      <c r="B39" s="88" t="s">
        <v>208</v>
      </c>
      <c r="C39" s="79" t="n">
        <f aca="false">D24+D29</f>
        <v>24</v>
      </c>
      <c r="D39" s="80" t="n">
        <f aca="false">E24+E29</f>
        <v>21.5</v>
      </c>
      <c r="E39" s="81" t="n">
        <f aca="false">IF(TotalRooms*BookableHours=0,0,D39/(TotalRooms*BookableHours*2))</f>
        <v>0.223958333333333</v>
      </c>
      <c r="F39" s="83" t="str">
        <f aca="false">REPT("█",MIN(34,ROUND($E39*34,0)))</f>
        <v>████████</v>
      </c>
      <c r="G39" s="83"/>
      <c r="H39" s="83"/>
      <c r="I39" s="83"/>
    </row>
    <row r="40" customFormat="false" ht="18" hidden="false" customHeight="true" outlineLevel="0" collapsed="false">
      <c r="B40" s="88" t="s">
        <v>209</v>
      </c>
      <c r="C40" s="79" t="n">
        <f aca="false">D25+D30</f>
        <v>24</v>
      </c>
      <c r="D40" s="80" t="n">
        <f aca="false">E25+E30</f>
        <v>20.5</v>
      </c>
      <c r="E40" s="81" t="n">
        <f aca="false">IF(TotalRooms*BookableHours=0,0,D40/(TotalRooms*BookableHours*2))</f>
        <v>0.213541666666667</v>
      </c>
      <c r="F40" s="83" t="str">
        <f aca="false">REPT("█",MIN(34,ROUND($E40*34,0)))</f>
        <v>███████</v>
      </c>
      <c r="G40" s="83"/>
      <c r="H40" s="83"/>
      <c r="I40" s="83"/>
    </row>
    <row r="41" customFormat="false" ht="18" hidden="false" customHeight="true" outlineLevel="0" collapsed="false">
      <c r="B41" s="88" t="s">
        <v>210</v>
      </c>
      <c r="C41" s="79" t="n">
        <f aca="false">D26+D31</f>
        <v>24</v>
      </c>
      <c r="D41" s="80" t="n">
        <f aca="false">E26+E31</f>
        <v>21.5</v>
      </c>
      <c r="E41" s="81" t="n">
        <f aca="false">IF(TotalRooms*BookableHours=0,0,D41/(TotalRooms*BookableHours*2))</f>
        <v>0.223958333333333</v>
      </c>
      <c r="F41" s="83" t="str">
        <f aca="false">REPT("█",MIN(34,ROUND($E41*34,0)))</f>
        <v>████████</v>
      </c>
      <c r="G41" s="83"/>
      <c r="H41" s="83"/>
      <c r="I41" s="83"/>
    </row>
    <row r="42" customFormat="false" ht="18" hidden="false" customHeight="true" outlineLevel="0" collapsed="false">
      <c r="B42" s="88" t="s">
        <v>211</v>
      </c>
      <c r="C42" s="79" t="n">
        <f aca="false">D27+D32</f>
        <v>24</v>
      </c>
      <c r="D42" s="80" t="n">
        <f aca="false">E27+E32</f>
        <v>21.5</v>
      </c>
      <c r="E42" s="81" t="n">
        <f aca="false">IF(TotalRooms*BookableHours=0,0,D42/(TotalRooms*BookableHours*2))</f>
        <v>0.223958333333333</v>
      </c>
      <c r="F42" s="83" t="str">
        <f aca="false">REPT("█",MIN(34,ROUND($E42*34,0)))</f>
        <v>████████</v>
      </c>
      <c r="G42" s="83"/>
      <c r="H42" s="83"/>
      <c r="I42" s="83"/>
    </row>
    <row r="43" customFormat="false" ht="15.75" hidden="false" customHeight="true" outlineLevel="0" collapsed="false">
      <c r="B43" s="17" t="str">
        <f aca="false">"  Busiest weekday runs at "&amp;TEXT(MAX($E$38:$E$42),"0%")&amp;" and the quietest at "&amp;TEXT(MIN($E$38:$E$42),"0%")&amp;". If the gap is wide, the answer is usually to move meetings, not to build rooms."</f>
        <v>  Busiest weekday runs at 22% and the quietest at 19%. If the gap is wide, the answer is usually to move meetings, not to build rooms.</v>
      </c>
      <c r="C43" s="17"/>
      <c r="D43" s="17"/>
      <c r="E43" s="17"/>
      <c r="F43" s="17"/>
      <c r="G43" s="17"/>
      <c r="H43" s="17"/>
      <c r="I43" s="17"/>
    </row>
    <row r="44" customFormat="false" ht="12" hidden="false" customHeight="true" outlineLevel="0" collapsed="false"/>
    <row r="45" customFormat="false" ht="21.75" hidden="false" customHeight="true" outlineLevel="0" collapsed="false">
      <c r="B45" s="5" t="s">
        <v>212</v>
      </c>
      <c r="C45" s="5"/>
      <c r="D45" s="5"/>
      <c r="E45" s="5"/>
      <c r="F45" s="5"/>
      <c r="G45" s="5"/>
      <c r="H45" s="5"/>
      <c r="I45" s="5"/>
    </row>
    <row r="46" customFormat="false" ht="12" hidden="false" customHeight="true" outlineLevel="0" collapsed="false"/>
    <row r="47" customFormat="false" ht="19.5" hidden="false" customHeight="true" outlineLevel="0" collapsed="false">
      <c r="B47" s="29" t="s">
        <v>123</v>
      </c>
      <c r="C47" s="29" t="s">
        <v>213</v>
      </c>
      <c r="D47" s="28" t="s">
        <v>63</v>
      </c>
      <c r="E47" s="28" t="s">
        <v>199</v>
      </c>
      <c r="F47" s="28" t="s">
        <v>130</v>
      </c>
      <c r="G47" s="28" t="s">
        <v>200</v>
      </c>
      <c r="H47" s="28" t="s">
        <v>214</v>
      </c>
      <c r="I47" s="29" t="s">
        <v>215</v>
      </c>
    </row>
    <row r="48" customFormat="false" ht="16.5" hidden="false" customHeight="true" outlineLevel="0" collapsed="false">
      <c r="B48" s="88" t="str">
        <f aca="false">IF(Setup!$C$16="","",Setup!$C$16)</f>
        <v>Aurora</v>
      </c>
      <c r="C48" s="89" t="str">
        <f aca="false">IF(Setup!$C$16="","",Setup!$D$16)</f>
        <v>Floor 1</v>
      </c>
      <c r="D48" s="82" t="n">
        <f aca="false">IF(Setup!$C$16="","",Setup!$E$16)</f>
        <v>12</v>
      </c>
      <c r="E48" s="79" t="n">
        <f aca="false">IF($B48="","",COUNTIF(BkRoom,$B48))</f>
        <v>24</v>
      </c>
      <c r="F48" s="80" t="n">
        <f aca="false">IF($B48="","",SUMIF(BkRoom,$B48,BkHours))</f>
        <v>23</v>
      </c>
      <c r="G48" s="81" t="n">
        <f aca="false">IF(OR($B48="",BookableHours=0),"",$F48/(BookableHours*10))</f>
        <v>0.2875</v>
      </c>
      <c r="H48" s="80" t="n">
        <f aca="false">IF(OR($B48="",$E48=0),"",SUMIF(BkRoom,$B48,BkAtt)/$E48)</f>
        <v>4.375</v>
      </c>
      <c r="I48" s="83" t="str">
        <f aca="false">IF($B48="","",REPT("█",MIN(26,ROUND($F48/3,0))))</f>
        <v>████████</v>
      </c>
    </row>
    <row r="49" customFormat="false" ht="16.5" hidden="false" customHeight="true" outlineLevel="0" collapsed="false">
      <c r="B49" s="88" t="str">
        <f aca="false">IF(Setup!$C$17="","",Setup!$C$17)</f>
        <v>Borealis</v>
      </c>
      <c r="C49" s="89" t="str">
        <f aca="false">IF(Setup!$C$17="","",Setup!$D$17)</f>
        <v>Floor 1</v>
      </c>
      <c r="D49" s="82" t="n">
        <f aca="false">IF(Setup!$C$17="","",Setup!$E$17)</f>
        <v>8</v>
      </c>
      <c r="E49" s="79" t="n">
        <f aca="false">IF($B49="","",COUNTIF(BkRoom,$B49))</f>
        <v>24</v>
      </c>
      <c r="F49" s="80" t="n">
        <f aca="false">IF($B49="","",SUMIF(BkRoom,$B49,BkHours))</f>
        <v>22.5</v>
      </c>
      <c r="G49" s="81" t="n">
        <f aca="false">IF(OR($B49="",BookableHours=0),"",$F49/(BookableHours*10))</f>
        <v>0.28125</v>
      </c>
      <c r="H49" s="80" t="n">
        <f aca="false">IF(OR($B49="",$E49=0),"",SUMIF(BkRoom,$B49,BkAtt)/$E49)</f>
        <v>4.91666666666667</v>
      </c>
      <c r="I49" s="83" t="str">
        <f aca="false">IF($B49="","",REPT("█",MIN(26,ROUND($F49/3,0))))</f>
        <v>████████</v>
      </c>
    </row>
    <row r="50" customFormat="false" ht="16.5" hidden="false" customHeight="true" outlineLevel="0" collapsed="false">
      <c r="B50" s="88" t="str">
        <f aca="false">IF(Setup!$C$18="","",Setup!$C$18)</f>
        <v>Cirrus</v>
      </c>
      <c r="C50" s="89" t="str">
        <f aca="false">IF(Setup!$C$18="","",Setup!$D$18)</f>
        <v>Floor 1</v>
      </c>
      <c r="D50" s="82" t="n">
        <f aca="false">IF(Setup!$C$18="","",Setup!$E$18)</f>
        <v>6</v>
      </c>
      <c r="E50" s="79" t="n">
        <f aca="false">IF($B50="","",COUNTIF(BkRoom,$B50))</f>
        <v>10</v>
      </c>
      <c r="F50" s="80" t="n">
        <f aca="false">IF($B50="","",SUMIF(BkRoom,$B50,BkHours))</f>
        <v>9.5</v>
      </c>
      <c r="G50" s="81" t="n">
        <f aca="false">IF(OR($B50="",BookableHours=0),"",$F50/(BookableHours*10))</f>
        <v>0.11875</v>
      </c>
      <c r="H50" s="80" t="n">
        <f aca="false">IF(OR($B50="",$E50=0),"",SUMIF(BkRoom,$B50,BkAtt)/$E50)</f>
        <v>3.3</v>
      </c>
      <c r="I50" s="83" t="str">
        <f aca="false">IF($B50="","",REPT("█",MIN(26,ROUND($F50/3,0))))</f>
        <v>███</v>
      </c>
    </row>
    <row r="51" customFormat="false" ht="16.5" hidden="false" customHeight="true" outlineLevel="0" collapsed="false">
      <c r="B51" s="88" t="str">
        <f aca="false">IF(Setup!$C$19="","",Setup!$C$19)</f>
        <v>Delta</v>
      </c>
      <c r="C51" s="89" t="str">
        <f aca="false">IF(Setup!$C$19="","",Setup!$D$19)</f>
        <v>Floor 2</v>
      </c>
      <c r="D51" s="82" t="n">
        <f aca="false">IF(Setup!$C$19="","",Setup!$E$19)</f>
        <v>4</v>
      </c>
      <c r="E51" s="79" t="n">
        <f aca="false">IF($B51="","",COUNTIF(BkRoom,$B51))</f>
        <v>16</v>
      </c>
      <c r="F51" s="80" t="n">
        <f aca="false">IF($B51="","",SUMIF(BkRoom,$B51,BkHours))</f>
        <v>13.5</v>
      </c>
      <c r="G51" s="81" t="n">
        <f aca="false">IF(OR($B51="",BookableHours=0),"",$F51/(BookableHours*10))</f>
        <v>0.16875</v>
      </c>
      <c r="H51" s="80" t="n">
        <f aca="false">IF(OR($B51="",$E51=0),"",SUMIF(BkRoom,$B51,BkAtt)/$E51)</f>
        <v>3.3125</v>
      </c>
      <c r="I51" s="83" t="str">
        <f aca="false">IF($B51="","",REPT("█",MIN(26,ROUND($F51/3,0))))</f>
        <v>█████</v>
      </c>
    </row>
    <row r="52" customFormat="false" ht="16.5" hidden="false" customHeight="true" outlineLevel="0" collapsed="false">
      <c r="B52" s="88" t="str">
        <f aca="false">IF(Setup!$C$20="","",Setup!$C$20)</f>
        <v>Everest</v>
      </c>
      <c r="C52" s="89" t="str">
        <f aca="false">IF(Setup!$C$20="","",Setup!$D$20)</f>
        <v>Floor 2</v>
      </c>
      <c r="D52" s="82" t="n">
        <f aca="false">IF(Setup!$C$20="","",Setup!$E$20)</f>
        <v>14</v>
      </c>
      <c r="E52" s="79" t="n">
        <f aca="false">IF($B52="","",COUNTIF(BkRoom,$B52))</f>
        <v>17</v>
      </c>
      <c r="F52" s="80" t="n">
        <f aca="false">IF($B52="","",SUMIF(BkRoom,$B52,BkHours))</f>
        <v>17</v>
      </c>
      <c r="G52" s="81" t="n">
        <f aca="false">IF(OR($B52="",BookableHours=0),"",$F52/(BookableHours*10))</f>
        <v>0.2125</v>
      </c>
      <c r="H52" s="80" t="n">
        <f aca="false">IF(OR($B52="",$E52=0),"",SUMIF(BkRoom,$B52,BkAtt)/$E52)</f>
        <v>4.70588235294118</v>
      </c>
      <c r="I52" s="83" t="str">
        <f aca="false">IF($B52="","",REPT("█",MIN(26,ROUND($F52/3,0))))</f>
        <v>██████</v>
      </c>
    </row>
    <row r="53" customFormat="false" ht="16.5" hidden="false" customHeight="true" outlineLevel="0" collapsed="false">
      <c r="B53" s="88" t="str">
        <f aca="false">IF(Setup!$C$21="","",Setup!$C$21)</f>
        <v>Fjord</v>
      </c>
      <c r="C53" s="89" t="str">
        <f aca="false">IF(Setup!$C$21="","",Setup!$D$21)</f>
        <v>Floor 2</v>
      </c>
      <c r="D53" s="82" t="n">
        <f aca="false">IF(Setup!$C$21="","",Setup!$E$21)</f>
        <v>2</v>
      </c>
      <c r="E53" s="79" t="n">
        <f aca="false">IF($B53="","",COUNTIF(BkRoom,$B53))</f>
        <v>29</v>
      </c>
      <c r="F53" s="80" t="n">
        <f aca="false">IF($B53="","",SUMIF(BkRoom,$B53,BkHours))</f>
        <v>18</v>
      </c>
      <c r="G53" s="81" t="n">
        <f aca="false">IF(OR($B53="",BookableHours=0),"",$F53/(BookableHours*10))</f>
        <v>0.225</v>
      </c>
      <c r="H53" s="80" t="n">
        <f aca="false">IF(OR($B53="",$E53=0),"",SUMIF(BkRoom,$B53,BkAtt)/$E53)</f>
        <v>2</v>
      </c>
      <c r="I53" s="83" t="str">
        <f aca="false">IF($B53="","",REPT("█",MIN(26,ROUND($F53/3,0))))</f>
        <v>██████</v>
      </c>
    </row>
    <row r="54" customFormat="false" ht="16.5" hidden="false" customHeight="true" outlineLevel="0" collapsed="false">
      <c r="B54" s="88" t="str">
        <f aca="false">IF(Setup!$C$22="","",Setup!$C$22)</f>
        <v/>
      </c>
      <c r="C54" s="89" t="str">
        <f aca="false">IF(Setup!$C$22="","",Setup!$D$22)</f>
        <v/>
      </c>
      <c r="D54" s="82" t="str">
        <f aca="false">IF(Setup!$C$22="","",Setup!$E$22)</f>
        <v/>
      </c>
      <c r="E54" s="79" t="str">
        <f aca="false">IF($B54="","",COUNTIF(BkRoom,$B54))</f>
        <v/>
      </c>
      <c r="F54" s="80" t="str">
        <f aca="false">IF($B54="","",SUMIF(BkRoom,$B54,BkHours))</f>
        <v/>
      </c>
      <c r="G54" s="81" t="str">
        <f aca="false">IF(OR($B54="",BookableHours=0),"",$F54/(BookableHours*10))</f>
        <v/>
      </c>
      <c r="H54" s="80" t="str">
        <f aca="false">IF(OR($B54="",$E54=0),"",SUMIF(BkRoom,$B54,BkAtt)/$E54)</f>
        <v/>
      </c>
      <c r="I54" s="83" t="str">
        <f aca="false">IF($B54="","",REPT("█",MIN(26,ROUND($F54/3,0))))</f>
        <v/>
      </c>
    </row>
    <row r="55" customFormat="false" ht="16.5" hidden="false" customHeight="true" outlineLevel="0" collapsed="false">
      <c r="B55" s="88" t="str">
        <f aca="false">IF(Setup!$C$23="","",Setup!$C$23)</f>
        <v/>
      </c>
      <c r="C55" s="89" t="str">
        <f aca="false">IF(Setup!$C$23="","",Setup!$D$23)</f>
        <v/>
      </c>
      <c r="D55" s="82" t="str">
        <f aca="false">IF(Setup!$C$23="","",Setup!$E$23)</f>
        <v/>
      </c>
      <c r="E55" s="79" t="str">
        <f aca="false">IF($B55="","",COUNTIF(BkRoom,$B55))</f>
        <v/>
      </c>
      <c r="F55" s="80" t="str">
        <f aca="false">IF($B55="","",SUMIF(BkRoom,$B55,BkHours))</f>
        <v/>
      </c>
      <c r="G55" s="81" t="str">
        <f aca="false">IF(OR($B55="",BookableHours=0),"",$F55/(BookableHours*10))</f>
        <v/>
      </c>
      <c r="H55" s="80" t="str">
        <f aca="false">IF(OR($B55="",$E55=0),"",SUMIF(BkRoom,$B55,BkAtt)/$E55)</f>
        <v/>
      </c>
      <c r="I55" s="83" t="str">
        <f aca="false">IF($B55="","",REPT("█",MIN(26,ROUND($F55/3,0))))</f>
        <v/>
      </c>
    </row>
    <row r="56" customFormat="false" ht="16.5" hidden="false" customHeight="true" outlineLevel="0" collapsed="false">
      <c r="B56" s="88" t="str">
        <f aca="false">IF(Setup!$C$24="","",Setup!$C$24)</f>
        <v/>
      </c>
      <c r="C56" s="89" t="str">
        <f aca="false">IF(Setup!$C$24="","",Setup!$D$24)</f>
        <v/>
      </c>
      <c r="D56" s="82" t="str">
        <f aca="false">IF(Setup!$C$24="","",Setup!$E$24)</f>
        <v/>
      </c>
      <c r="E56" s="79" t="str">
        <f aca="false">IF($B56="","",COUNTIF(BkRoom,$B56))</f>
        <v/>
      </c>
      <c r="F56" s="80" t="str">
        <f aca="false">IF($B56="","",SUMIF(BkRoom,$B56,BkHours))</f>
        <v/>
      </c>
      <c r="G56" s="81" t="str">
        <f aca="false">IF(OR($B56="",BookableHours=0),"",$F56/(BookableHours*10))</f>
        <v/>
      </c>
      <c r="H56" s="80" t="str">
        <f aca="false">IF(OR($B56="",$E56=0),"",SUMIF(BkRoom,$B56,BkAtt)/$E56)</f>
        <v/>
      </c>
      <c r="I56" s="83" t="str">
        <f aca="false">IF($B56="","",REPT("█",MIN(26,ROUND($F56/3,0))))</f>
        <v/>
      </c>
    </row>
    <row r="57" customFormat="false" ht="16.5" hidden="false" customHeight="true" outlineLevel="0" collapsed="false">
      <c r="B57" s="88" t="str">
        <f aca="false">IF(Setup!$C$25="","",Setup!$C$25)</f>
        <v/>
      </c>
      <c r="C57" s="89" t="str">
        <f aca="false">IF(Setup!$C$25="","",Setup!$D$25)</f>
        <v/>
      </c>
      <c r="D57" s="82" t="str">
        <f aca="false">IF(Setup!$C$25="","",Setup!$E$25)</f>
        <v/>
      </c>
      <c r="E57" s="79" t="str">
        <f aca="false">IF($B57="","",COUNTIF(BkRoom,$B57))</f>
        <v/>
      </c>
      <c r="F57" s="80" t="str">
        <f aca="false">IF($B57="","",SUMIF(BkRoom,$B57,BkHours))</f>
        <v/>
      </c>
      <c r="G57" s="81" t="str">
        <f aca="false">IF(OR($B57="",BookableHours=0),"",$F57/(BookableHours*10))</f>
        <v/>
      </c>
      <c r="H57" s="80" t="str">
        <f aca="false">IF(OR($B57="",$E57=0),"",SUMIF(BkRoom,$B57,BkAtt)/$E57)</f>
        <v/>
      </c>
      <c r="I57" s="83" t="str">
        <f aca="false">IF($B57="","",REPT("█",MIN(26,ROUND($F57/3,0))))</f>
        <v/>
      </c>
    </row>
    <row r="58" customFormat="false" ht="16.5" hidden="false" customHeight="true" outlineLevel="0" collapsed="false">
      <c r="B58" s="88" t="str">
        <f aca="false">IF(Setup!$C$26="","",Setup!$C$26)</f>
        <v/>
      </c>
      <c r="C58" s="89" t="str">
        <f aca="false">IF(Setup!$C$26="","",Setup!$D$26)</f>
        <v/>
      </c>
      <c r="D58" s="82" t="str">
        <f aca="false">IF(Setup!$C$26="","",Setup!$E$26)</f>
        <v/>
      </c>
      <c r="E58" s="79" t="str">
        <f aca="false">IF($B58="","",COUNTIF(BkRoom,$B58))</f>
        <v/>
      </c>
      <c r="F58" s="80" t="str">
        <f aca="false">IF($B58="","",SUMIF(BkRoom,$B58,BkHours))</f>
        <v/>
      </c>
      <c r="G58" s="81" t="str">
        <f aca="false">IF(OR($B58="",BookableHours=0),"",$F58/(BookableHours*10))</f>
        <v/>
      </c>
      <c r="H58" s="80" t="str">
        <f aca="false">IF(OR($B58="",$E58=0),"",SUMIF(BkRoom,$B58,BkAtt)/$E58)</f>
        <v/>
      </c>
      <c r="I58" s="83" t="str">
        <f aca="false">IF($B58="","",REPT("█",MIN(26,ROUND($F58/3,0))))</f>
        <v/>
      </c>
    </row>
    <row r="59" customFormat="false" ht="16.5" hidden="false" customHeight="true" outlineLevel="0" collapsed="false">
      <c r="B59" s="88" t="str">
        <f aca="false">IF(Setup!$C$27="","",Setup!$C$27)</f>
        <v/>
      </c>
      <c r="C59" s="89" t="str">
        <f aca="false">IF(Setup!$C$27="","",Setup!$D$27)</f>
        <v/>
      </c>
      <c r="D59" s="82" t="str">
        <f aca="false">IF(Setup!$C$27="","",Setup!$E$27)</f>
        <v/>
      </c>
      <c r="E59" s="79" t="str">
        <f aca="false">IF($B59="","",COUNTIF(BkRoom,$B59))</f>
        <v/>
      </c>
      <c r="F59" s="80" t="str">
        <f aca="false">IF($B59="","",SUMIF(BkRoom,$B59,BkHours))</f>
        <v/>
      </c>
      <c r="G59" s="81" t="str">
        <f aca="false">IF(OR($B59="",BookableHours=0),"",$F59/(BookableHours*10))</f>
        <v/>
      </c>
      <c r="H59" s="80" t="str">
        <f aca="false">IF(OR($B59="",$E59=0),"",SUMIF(BkRoom,$B59,BkAtt)/$E59)</f>
        <v/>
      </c>
      <c r="I59" s="83" t="str">
        <f aca="false">IF($B59="","",REPT("█",MIN(26,ROUND($F59/3,0))))</f>
        <v/>
      </c>
    </row>
    <row r="60" customFormat="false" ht="15.75" hidden="false" customHeight="true" outlineLevel="0" collapsed="false">
      <c r="B60" s="17" t="s">
        <v>216</v>
      </c>
      <c r="C60" s="17"/>
      <c r="D60" s="17"/>
      <c r="E60" s="17"/>
      <c r="F60" s="17"/>
      <c r="G60" s="17"/>
      <c r="H60" s="17"/>
      <c r="I60" s="17"/>
    </row>
    <row r="62" customFormat="false" ht="21.75" hidden="false" customHeight="true" outlineLevel="0" collapsed="false">
      <c r="B62" s="5" t="s">
        <v>217</v>
      </c>
      <c r="C62" s="5"/>
      <c r="D62" s="5"/>
      <c r="E62" s="5"/>
      <c r="F62" s="5"/>
      <c r="G62" s="5"/>
      <c r="H62" s="5"/>
      <c r="I62" s="5"/>
    </row>
    <row r="63" customFormat="false" ht="12" hidden="false" customHeight="true" outlineLevel="0" collapsed="false"/>
    <row r="64" customFormat="false" ht="19.5" hidden="false" customHeight="true" outlineLevel="0" collapsed="false">
      <c r="B64" s="28" t="s">
        <v>162</v>
      </c>
      <c r="C64" s="28" t="s">
        <v>218</v>
      </c>
      <c r="D64" s="28" t="s">
        <v>219</v>
      </c>
      <c r="E64" s="28" t="s">
        <v>200</v>
      </c>
      <c r="F64" s="29" t="s">
        <v>220</v>
      </c>
      <c r="G64" s="29"/>
      <c r="H64" s="29"/>
      <c r="I64" s="29"/>
    </row>
    <row r="65" customFormat="false" ht="16.5" hidden="false" customHeight="true" outlineLevel="0" collapsed="false">
      <c r="B65" s="90" t="n">
        <f aca="false">Lists!$A$3</f>
        <v>0.375</v>
      </c>
      <c r="C65" s="80" t="n">
        <f aca="false">SUMPRODUCT((BkStartMin&lt;=Lists!$AE$3)*(BkEndMin&gt;Lists!$AE$3)*(BkRoom&lt;&gt;""))*0.5</f>
        <v>3.5</v>
      </c>
      <c r="D65" s="80" t="n">
        <f aca="false">$C65*2/10</f>
        <v>0.7</v>
      </c>
      <c r="E65" s="81" t="n">
        <f aca="false">IF(TotalRooms=0,0,$D65/TotalRooms)</f>
        <v>0.116666666666667</v>
      </c>
      <c r="F65" s="83" t="str">
        <f aca="false">REPT("█",MIN(30,ROUND($E65*30,0)))</f>
        <v>███</v>
      </c>
      <c r="G65" s="83"/>
      <c r="H65" s="83"/>
      <c r="I65" s="83"/>
    </row>
    <row r="66" customFormat="false" ht="16.5" hidden="false" customHeight="true" outlineLevel="0" collapsed="false">
      <c r="B66" s="90" t="n">
        <f aca="false">Lists!$A$4</f>
        <v>0.395833333333333</v>
      </c>
      <c r="C66" s="80" t="n">
        <f aca="false">SUMPRODUCT((BkStartMin&lt;=Lists!$AE$4)*(BkEndMin&gt;Lists!$AE$4)*(BkRoom&lt;&gt;""))*0.5</f>
        <v>7</v>
      </c>
      <c r="D66" s="80" t="n">
        <f aca="false">$C66*2/10</f>
        <v>1.4</v>
      </c>
      <c r="E66" s="81" t="n">
        <f aca="false">IF(TotalRooms=0,0,$D66/TotalRooms)</f>
        <v>0.233333333333333</v>
      </c>
      <c r="F66" s="83" t="str">
        <f aca="false">REPT("█",MIN(30,ROUND($E66*30,0)))</f>
        <v>███████</v>
      </c>
      <c r="G66" s="83"/>
      <c r="H66" s="83"/>
      <c r="I66" s="83"/>
    </row>
    <row r="67" customFormat="false" ht="16.5" hidden="false" customHeight="true" outlineLevel="0" collapsed="false">
      <c r="B67" s="90" t="n">
        <f aca="false">Lists!$A$5</f>
        <v>0.416666666666667</v>
      </c>
      <c r="C67" s="80" t="n">
        <f aca="false">SUMPRODUCT((BkStartMin&lt;=Lists!$AE$5)*(BkEndMin&gt;Lists!$AE$5)*(BkRoom&lt;&gt;""))*0.5</f>
        <v>9</v>
      </c>
      <c r="D67" s="80" t="n">
        <f aca="false">$C67*2/10</f>
        <v>1.8</v>
      </c>
      <c r="E67" s="81" t="n">
        <f aca="false">IF(TotalRooms=0,0,$D67/TotalRooms)</f>
        <v>0.3</v>
      </c>
      <c r="F67" s="83" t="str">
        <f aca="false">REPT("█",MIN(30,ROUND($E67*30,0)))</f>
        <v>█████████</v>
      </c>
      <c r="G67" s="83"/>
      <c r="H67" s="83"/>
      <c r="I67" s="83"/>
    </row>
    <row r="68" customFormat="false" ht="16.5" hidden="false" customHeight="true" outlineLevel="0" collapsed="false">
      <c r="B68" s="90" t="n">
        <f aca="false">Lists!$A$6</f>
        <v>0.4375</v>
      </c>
      <c r="C68" s="80" t="n">
        <f aca="false">SUMPRODUCT((BkStartMin&lt;=Lists!$AE$6)*(BkEndMin&gt;Lists!$AE$6)*(BkRoom&lt;&gt;""))*0.5</f>
        <v>15.5</v>
      </c>
      <c r="D68" s="80" t="n">
        <f aca="false">$C68*2/10</f>
        <v>3.1</v>
      </c>
      <c r="E68" s="81" t="n">
        <f aca="false">IF(TotalRooms=0,0,$D68/TotalRooms)</f>
        <v>0.516666666666667</v>
      </c>
      <c r="F68" s="83" t="str">
        <f aca="false">REPT("█",MIN(30,ROUND($E68*30,0)))</f>
        <v>████████████████</v>
      </c>
      <c r="G68" s="83"/>
      <c r="H68" s="83"/>
      <c r="I68" s="83"/>
    </row>
    <row r="69" customFormat="false" ht="16.5" hidden="false" customHeight="true" outlineLevel="0" collapsed="false">
      <c r="B69" s="90" t="n">
        <f aca="false">Lists!$A$7</f>
        <v>0.458333333333333</v>
      </c>
      <c r="C69" s="80" t="n">
        <f aca="false">SUMPRODUCT((BkStartMin&lt;=Lists!$AE$7)*(BkEndMin&gt;Lists!$AE$7)*(BkRoom&lt;&gt;""))*0.5</f>
        <v>12.5</v>
      </c>
      <c r="D69" s="80" t="n">
        <f aca="false">$C69*2/10</f>
        <v>2.5</v>
      </c>
      <c r="E69" s="81" t="n">
        <f aca="false">IF(TotalRooms=0,0,$D69/TotalRooms)</f>
        <v>0.416666666666667</v>
      </c>
      <c r="F69" s="83" t="str">
        <f aca="false">REPT("█",MIN(30,ROUND($E69*30,0)))</f>
        <v>█████████████</v>
      </c>
      <c r="G69" s="83"/>
      <c r="H69" s="83"/>
      <c r="I69" s="83"/>
    </row>
    <row r="70" customFormat="false" ht="16.5" hidden="false" customHeight="true" outlineLevel="0" collapsed="false">
      <c r="B70" s="90" t="n">
        <f aca="false">Lists!$A$8</f>
        <v>0.479166666666667</v>
      </c>
      <c r="C70" s="80" t="n">
        <f aca="false">SUMPRODUCT((BkStartMin&lt;=Lists!$AE$8)*(BkEndMin&gt;Lists!$AE$8)*(BkRoom&lt;&gt;""))*0.5</f>
        <v>8</v>
      </c>
      <c r="D70" s="80" t="n">
        <f aca="false">$C70*2/10</f>
        <v>1.6</v>
      </c>
      <c r="E70" s="81" t="n">
        <f aca="false">IF(TotalRooms=0,0,$D70/TotalRooms)</f>
        <v>0.266666666666667</v>
      </c>
      <c r="F70" s="83" t="str">
        <f aca="false">REPT("█",MIN(30,ROUND($E70*30,0)))</f>
        <v>████████</v>
      </c>
      <c r="G70" s="83"/>
      <c r="H70" s="83"/>
      <c r="I70" s="83"/>
    </row>
    <row r="71" customFormat="false" ht="16.5" hidden="false" customHeight="true" outlineLevel="0" collapsed="false">
      <c r="B71" s="90" t="n">
        <f aca="false">Lists!$A$9</f>
        <v>0.5</v>
      </c>
      <c r="C71" s="80" t="n">
        <f aca="false">SUMPRODUCT((BkStartMin&lt;=Lists!$AE$9)*(BkEndMin&gt;Lists!$AE$9)*(BkRoom&lt;&gt;""))*0.5</f>
        <v>5.5</v>
      </c>
      <c r="D71" s="80" t="n">
        <f aca="false">$C71*2/10</f>
        <v>1.1</v>
      </c>
      <c r="E71" s="81" t="n">
        <f aca="false">IF(TotalRooms=0,0,$D71/TotalRooms)</f>
        <v>0.183333333333333</v>
      </c>
      <c r="F71" s="83" t="str">
        <f aca="false">REPT("█",MIN(30,ROUND($E71*30,0)))</f>
        <v>██████</v>
      </c>
      <c r="G71" s="83"/>
      <c r="H71" s="83"/>
      <c r="I71" s="83"/>
    </row>
    <row r="72" customFormat="false" ht="16.5" hidden="false" customHeight="true" outlineLevel="0" collapsed="false">
      <c r="B72" s="90" t="n">
        <f aca="false">Lists!$A$10</f>
        <v>0.520833333333333</v>
      </c>
      <c r="C72" s="80" t="n">
        <f aca="false">SUMPRODUCT((BkStartMin&lt;=Lists!$AE$10)*(BkEndMin&gt;Lists!$AE$10)*(BkRoom&lt;&gt;""))*0.5</f>
        <v>1</v>
      </c>
      <c r="D72" s="80" t="n">
        <f aca="false">$C72*2/10</f>
        <v>0.2</v>
      </c>
      <c r="E72" s="81" t="n">
        <f aca="false">IF(TotalRooms=0,0,$D72/TotalRooms)</f>
        <v>0.0333333333333333</v>
      </c>
      <c r="F72" s="83" t="str">
        <f aca="false">REPT("█",MIN(30,ROUND($E72*30,0)))</f>
        <v>█</v>
      </c>
      <c r="G72" s="83"/>
      <c r="H72" s="83"/>
      <c r="I72" s="83"/>
    </row>
    <row r="73" customFormat="false" ht="16.5" hidden="false" customHeight="true" outlineLevel="0" collapsed="false">
      <c r="B73" s="90" t="n">
        <f aca="false">Lists!$A$11</f>
        <v>0.541666666666667</v>
      </c>
      <c r="C73" s="80" t="n">
        <f aca="false">SUMPRODUCT((BkStartMin&lt;=Lists!$AE$11)*(BkEndMin&gt;Lists!$AE$11)*(BkRoom&lt;&gt;""))*0.5</f>
        <v>2.5</v>
      </c>
      <c r="D73" s="80" t="n">
        <f aca="false">$C73*2/10</f>
        <v>0.5</v>
      </c>
      <c r="E73" s="81" t="n">
        <f aca="false">IF(TotalRooms=0,0,$D73/TotalRooms)</f>
        <v>0.0833333333333333</v>
      </c>
      <c r="F73" s="83" t="str">
        <f aca="false">REPT("█",MIN(30,ROUND($E73*30,0)))</f>
        <v>███</v>
      </c>
      <c r="G73" s="83"/>
      <c r="H73" s="83"/>
      <c r="I73" s="83"/>
    </row>
    <row r="74" customFormat="false" ht="16.5" hidden="false" customHeight="true" outlineLevel="0" collapsed="false">
      <c r="B74" s="90" t="n">
        <f aca="false">Lists!$A$12</f>
        <v>0.5625</v>
      </c>
      <c r="C74" s="80" t="n">
        <f aca="false">SUMPRODUCT((BkStartMin&lt;=Lists!$AE$12)*(BkEndMin&gt;Lists!$AE$12)*(BkRoom&lt;&gt;""))*0.5</f>
        <v>3</v>
      </c>
      <c r="D74" s="80" t="n">
        <f aca="false">$C74*2/10</f>
        <v>0.6</v>
      </c>
      <c r="E74" s="81" t="n">
        <f aca="false">IF(TotalRooms=0,0,$D74/TotalRooms)</f>
        <v>0.1</v>
      </c>
      <c r="F74" s="83" t="str">
        <f aca="false">REPT("█",MIN(30,ROUND($E74*30,0)))</f>
        <v>███</v>
      </c>
      <c r="G74" s="83"/>
      <c r="H74" s="83"/>
      <c r="I74" s="83"/>
    </row>
    <row r="75" customFormat="false" ht="16.5" hidden="false" customHeight="true" outlineLevel="0" collapsed="false">
      <c r="B75" s="90" t="n">
        <f aca="false">Lists!$A$13</f>
        <v>0.583333333333333</v>
      </c>
      <c r="C75" s="80" t="n">
        <f aca="false">SUMPRODUCT((BkStartMin&lt;=Lists!$AE$13)*(BkEndMin&gt;Lists!$AE$13)*(BkRoom&lt;&gt;""))*0.5</f>
        <v>7</v>
      </c>
      <c r="D75" s="80" t="n">
        <f aca="false">$C75*2/10</f>
        <v>1.4</v>
      </c>
      <c r="E75" s="81" t="n">
        <f aca="false">IF(TotalRooms=0,0,$D75/TotalRooms)</f>
        <v>0.233333333333333</v>
      </c>
      <c r="F75" s="83" t="str">
        <f aca="false">REPT("█",MIN(30,ROUND($E75*30,0)))</f>
        <v>███████</v>
      </c>
      <c r="G75" s="83"/>
      <c r="H75" s="83"/>
      <c r="I75" s="83"/>
    </row>
    <row r="76" customFormat="false" ht="16.5" hidden="false" customHeight="true" outlineLevel="0" collapsed="false">
      <c r="B76" s="90" t="n">
        <f aca="false">Lists!$A$14</f>
        <v>0.604166666666667</v>
      </c>
      <c r="C76" s="80" t="n">
        <f aca="false">SUMPRODUCT((BkStartMin&lt;=Lists!$AE$14)*(BkEndMin&gt;Lists!$AE$14)*(BkRoom&lt;&gt;""))*0.5</f>
        <v>10</v>
      </c>
      <c r="D76" s="80" t="n">
        <f aca="false">$C76*2/10</f>
        <v>2</v>
      </c>
      <c r="E76" s="81" t="n">
        <f aca="false">IF(TotalRooms=0,0,$D76/TotalRooms)</f>
        <v>0.333333333333333</v>
      </c>
      <c r="F76" s="83" t="str">
        <f aca="false">REPT("█",MIN(30,ROUND($E76*30,0)))</f>
        <v>██████████</v>
      </c>
      <c r="G76" s="83"/>
      <c r="H76" s="83"/>
      <c r="I76" s="83"/>
    </row>
    <row r="77" customFormat="false" ht="16.5" hidden="false" customHeight="true" outlineLevel="0" collapsed="false">
      <c r="B77" s="90" t="n">
        <f aca="false">Lists!$A$15</f>
        <v>0.625</v>
      </c>
      <c r="C77" s="80" t="n">
        <f aca="false">SUMPRODUCT((BkStartMin&lt;=Lists!$AE$15)*(BkEndMin&gt;Lists!$AE$15)*(BkRoom&lt;&gt;""))*0.5</f>
        <v>9.5</v>
      </c>
      <c r="D77" s="80" t="n">
        <f aca="false">$C77*2/10</f>
        <v>1.9</v>
      </c>
      <c r="E77" s="81" t="n">
        <f aca="false">IF(TotalRooms=0,0,$D77/TotalRooms)</f>
        <v>0.316666666666667</v>
      </c>
      <c r="F77" s="83" t="str">
        <f aca="false">REPT("█",MIN(30,ROUND($E77*30,0)))</f>
        <v>██████████</v>
      </c>
      <c r="G77" s="83"/>
      <c r="H77" s="83"/>
      <c r="I77" s="83"/>
    </row>
    <row r="78" customFormat="false" ht="16.5" hidden="false" customHeight="true" outlineLevel="0" collapsed="false">
      <c r="B78" s="90" t="n">
        <f aca="false">Lists!$A$16</f>
        <v>0.645833333333333</v>
      </c>
      <c r="C78" s="80" t="n">
        <f aca="false">SUMPRODUCT((BkStartMin&lt;=Lists!$AE$16)*(BkEndMin&gt;Lists!$AE$16)*(BkRoom&lt;&gt;""))*0.5</f>
        <v>7.5</v>
      </c>
      <c r="D78" s="80" t="n">
        <f aca="false">$C78*2/10</f>
        <v>1.5</v>
      </c>
      <c r="E78" s="81" t="n">
        <f aca="false">IF(TotalRooms=0,0,$D78/TotalRooms)</f>
        <v>0.25</v>
      </c>
      <c r="F78" s="83" t="str">
        <f aca="false">REPT("█",MIN(30,ROUND($E78*30,0)))</f>
        <v>████████</v>
      </c>
      <c r="G78" s="83"/>
      <c r="H78" s="83"/>
      <c r="I78" s="83"/>
    </row>
    <row r="79" customFormat="false" ht="16.5" hidden="false" customHeight="true" outlineLevel="0" collapsed="false">
      <c r="B79" s="90" t="n">
        <f aca="false">Lists!$A$17</f>
        <v>0.666666666666667</v>
      </c>
      <c r="C79" s="80" t="n">
        <f aca="false">SUMPRODUCT((BkStartMin&lt;=Lists!$AE$17)*(BkEndMin&gt;Lists!$AE$17)*(BkRoom&lt;&gt;""))*0.5</f>
        <v>2</v>
      </c>
      <c r="D79" s="80" t="n">
        <f aca="false">$C79*2/10</f>
        <v>0.4</v>
      </c>
      <c r="E79" s="81" t="n">
        <f aca="false">IF(TotalRooms=0,0,$D79/TotalRooms)</f>
        <v>0.0666666666666667</v>
      </c>
      <c r="F79" s="83" t="str">
        <f aca="false">REPT("█",MIN(30,ROUND($E79*30,0)))</f>
        <v>██</v>
      </c>
      <c r="G79" s="83"/>
      <c r="H79" s="83"/>
      <c r="I79" s="83"/>
    </row>
    <row r="80" customFormat="false" ht="16.5" hidden="false" customHeight="true" outlineLevel="0" collapsed="false">
      <c r="B80" s="90" t="n">
        <f aca="false">Lists!$A$18</f>
        <v>0.6875</v>
      </c>
      <c r="C80" s="80" t="n">
        <f aca="false">SUMPRODUCT((BkStartMin&lt;=Lists!$AE$18)*(BkEndMin&gt;Lists!$AE$18)*(BkRoom&lt;&gt;""))*0.5</f>
        <v>0</v>
      </c>
      <c r="D80" s="80" t="n">
        <f aca="false">$C80*2/10</f>
        <v>0</v>
      </c>
      <c r="E80" s="81" t="n">
        <f aca="false">IF(TotalRooms=0,0,$D80/TotalRooms)</f>
        <v>0</v>
      </c>
      <c r="F80" s="83" t="str">
        <f aca="false">REPT("█",MIN(30,ROUND($E80*30,0)))</f>
        <v/>
      </c>
      <c r="G80" s="83"/>
      <c r="H80" s="83"/>
      <c r="I80" s="83"/>
    </row>
    <row r="81" customFormat="false" ht="15.75" hidden="false" customHeight="true" outlineLevel="0" collapsed="false">
      <c r="B81" s="17" t="str">
        <f aca="false">"  Peak demand is at "&amp;TEXT(INDEX($B$65:$B$80,MATCH(MAX($E$65:$E$80),$E$65:$E$80,0)),"h:mm")&amp;", when "&amp;TEXT(MAX($E$65:$E$80),"0%")&amp;" of your rooms are in use. Quietest is "&amp;TEXT(INDEX($B$65:$B$80,MATCH(MIN($E$65:$E$80),$E$65:$E$80,0)),"h:mm")&amp;". Nudging a handful of recurring meetings out of the peak hour buys you more than another room does."</f>
        <v>  Peak demand is at 10:30, when 52% of your rooms are in use. Quietest is 16:30. Nudging a handful of recurring meetings out of the peak hour buys you more than another room does.</v>
      </c>
      <c r="C81" s="17"/>
      <c r="D81" s="17"/>
      <c r="E81" s="17"/>
      <c r="F81" s="17"/>
      <c r="G81" s="17"/>
      <c r="H81" s="17"/>
      <c r="I81" s="17"/>
    </row>
    <row r="83" customFormat="false" ht="21.75" hidden="false" customHeight="true" outlineLevel="0" collapsed="false">
      <c r="B83" s="5" t="s">
        <v>221</v>
      </c>
      <c r="C83" s="5"/>
      <c r="D83" s="5"/>
      <c r="E83" s="5"/>
      <c r="F83" s="5"/>
      <c r="G83" s="5"/>
      <c r="H83" s="5"/>
      <c r="I83" s="5"/>
    </row>
    <row r="84" customFormat="false" ht="12" hidden="false" customHeight="true" outlineLevel="0" collapsed="false"/>
    <row r="85" customFormat="false" ht="19.5" hidden="false" customHeight="true" outlineLevel="0" collapsed="false">
      <c r="B85" s="29" t="s">
        <v>65</v>
      </c>
      <c r="C85" s="29" t="s">
        <v>66</v>
      </c>
      <c r="D85" s="28" t="s">
        <v>199</v>
      </c>
      <c r="E85" s="28" t="s">
        <v>130</v>
      </c>
      <c r="F85" s="28" t="s">
        <v>201</v>
      </c>
      <c r="G85" s="29" t="s">
        <v>222</v>
      </c>
      <c r="H85" s="29"/>
      <c r="I85" s="29"/>
    </row>
    <row r="86" customFormat="false" ht="15.75" hidden="false" customHeight="true" outlineLevel="0" collapsed="false">
      <c r="B86" s="91" t="str">
        <f aca="false">IF(Setup!$I$16="","",Setup!$I$16)</f>
        <v>Ava Mitchell</v>
      </c>
      <c r="C86" s="89" t="str">
        <f aca="false">IF(Setup!$I$16="","",Setup!$J$16)</f>
        <v>Product</v>
      </c>
      <c r="D86" s="79" t="n">
        <f aca="false">IF($B86="","",COUNTIF(BkWho,$B86))</f>
        <v>4</v>
      </c>
      <c r="E86" s="80" t="n">
        <f aca="false">IF($B86="","",SUMIF(BkWho,$B86,BkHours))</f>
        <v>2.5</v>
      </c>
      <c r="F86" s="82" t="n">
        <f aca="false">IF($B86="","",COUNTIFS(BkWho,$B86,BkShow,"No-show"))</f>
        <v>0</v>
      </c>
      <c r="G86" s="83" t="str">
        <f aca="false">IF($B86="","",REPT("█",MIN(28,$D86)))</f>
        <v>████</v>
      </c>
      <c r="H86" s="83"/>
      <c r="I86" s="83"/>
    </row>
    <row r="87" customFormat="false" ht="15.75" hidden="false" customHeight="true" outlineLevel="0" collapsed="false">
      <c r="B87" s="91" t="str">
        <f aca="false">IF(Setup!$I$17="","",Setup!$I$17)</f>
        <v>Noah Bennett</v>
      </c>
      <c r="C87" s="89" t="str">
        <f aca="false">IF(Setup!$I$17="","",Setup!$J$17)</f>
        <v>Product</v>
      </c>
      <c r="D87" s="79" t="n">
        <f aca="false">IF($B87="","",COUNTIF(BkWho,$B87))</f>
        <v>11</v>
      </c>
      <c r="E87" s="80" t="n">
        <f aca="false">IF($B87="","",SUMIF(BkWho,$B87,BkHours))</f>
        <v>10</v>
      </c>
      <c r="F87" s="82" t="n">
        <f aca="false">IF($B87="","",COUNTIFS(BkWho,$B87,BkShow,"No-show"))</f>
        <v>1</v>
      </c>
      <c r="G87" s="83" t="str">
        <f aca="false">IF($B87="","",REPT("█",MIN(28,$D87)))</f>
        <v>███████████</v>
      </c>
      <c r="H87" s="83"/>
      <c r="I87" s="83"/>
    </row>
    <row r="88" customFormat="false" ht="15.75" hidden="false" customHeight="true" outlineLevel="0" collapsed="false">
      <c r="B88" s="91" t="str">
        <f aca="false">IF(Setup!$I$18="","",Setup!$I$18)</f>
        <v>Mia Okafor</v>
      </c>
      <c r="C88" s="89" t="str">
        <f aca="false">IF(Setup!$I$18="","",Setup!$J$18)</f>
        <v>Engineering</v>
      </c>
      <c r="D88" s="79" t="n">
        <f aca="false">IF($B88="","",COUNTIF(BkWho,$B88))</f>
        <v>7</v>
      </c>
      <c r="E88" s="80" t="n">
        <f aca="false">IF($B88="","",SUMIF(BkWho,$B88,BkHours))</f>
        <v>6</v>
      </c>
      <c r="F88" s="82" t="n">
        <f aca="false">IF($B88="","",COUNTIFS(BkWho,$B88,BkShow,"No-show"))</f>
        <v>1</v>
      </c>
      <c r="G88" s="83" t="str">
        <f aca="false">IF($B88="","",REPT("█",MIN(28,$D88)))</f>
        <v>███████</v>
      </c>
      <c r="H88" s="83"/>
      <c r="I88" s="83"/>
    </row>
    <row r="89" customFormat="false" ht="15.75" hidden="false" customHeight="true" outlineLevel="0" collapsed="false">
      <c r="B89" s="91" t="str">
        <f aca="false">IF(Setup!$I$19="","",Setup!$I$19)</f>
        <v>Liam Novak</v>
      </c>
      <c r="C89" s="89" t="str">
        <f aca="false">IF(Setup!$I$19="","",Setup!$J$19)</f>
        <v>Engineering</v>
      </c>
      <c r="D89" s="79" t="n">
        <f aca="false">IF($B89="","",COUNTIF(BkWho,$B89))</f>
        <v>6</v>
      </c>
      <c r="E89" s="80" t="n">
        <f aca="false">IF($B89="","",SUMIF(BkWho,$B89,BkHours))</f>
        <v>5.5</v>
      </c>
      <c r="F89" s="82" t="n">
        <f aca="false">IF($B89="","",COUNTIFS(BkWho,$B89,BkShow,"No-show"))</f>
        <v>1</v>
      </c>
      <c r="G89" s="83" t="str">
        <f aca="false">IF($B89="","",REPT("█",MIN(28,$D89)))</f>
        <v>██████</v>
      </c>
      <c r="H89" s="83"/>
      <c r="I89" s="83"/>
    </row>
    <row r="90" customFormat="false" ht="15.75" hidden="false" customHeight="true" outlineLevel="0" collapsed="false">
      <c r="B90" s="91" t="str">
        <f aca="false">IF(Setup!$I$20="","",Setup!$I$20)</f>
        <v>Sofia Ramirez</v>
      </c>
      <c r="C90" s="89" t="str">
        <f aca="false">IF(Setup!$I$20="","",Setup!$J$20)</f>
        <v>Engineering</v>
      </c>
      <c r="D90" s="79" t="n">
        <f aca="false">IF($B90="","",COUNTIF(BkWho,$B90))</f>
        <v>5</v>
      </c>
      <c r="E90" s="80" t="n">
        <f aca="false">IF($B90="","",SUMIF(BkWho,$B90,BkHours))</f>
        <v>5.5</v>
      </c>
      <c r="F90" s="82" t="n">
        <f aca="false">IF($B90="","",COUNTIFS(BkWho,$B90,BkShow,"No-show"))</f>
        <v>0</v>
      </c>
      <c r="G90" s="83" t="str">
        <f aca="false">IF($B90="","",REPT("█",MIN(28,$D90)))</f>
        <v>█████</v>
      </c>
      <c r="H90" s="83"/>
      <c r="I90" s="83"/>
    </row>
    <row r="91" customFormat="false" ht="15.75" hidden="false" customHeight="true" outlineLevel="0" collapsed="false">
      <c r="B91" s="91" t="str">
        <f aca="false">IF(Setup!$I$21="","",Setup!$I$21)</f>
        <v>Ethan Clarke</v>
      </c>
      <c r="C91" s="89" t="str">
        <f aca="false">IF(Setup!$I$21="","",Setup!$J$21)</f>
        <v>Sales</v>
      </c>
      <c r="D91" s="79" t="n">
        <f aca="false">IF($B91="","",COUNTIF(BkWho,$B91))</f>
        <v>7</v>
      </c>
      <c r="E91" s="80" t="n">
        <f aca="false">IF($B91="","",SUMIF(BkWho,$B91,BkHours))</f>
        <v>6.5</v>
      </c>
      <c r="F91" s="82" t="n">
        <f aca="false">IF($B91="","",COUNTIFS(BkWho,$B91,BkShow,"No-show"))</f>
        <v>0</v>
      </c>
      <c r="G91" s="83" t="str">
        <f aca="false">IF($B91="","",REPT("█",MIN(28,$D91)))</f>
        <v>███████</v>
      </c>
      <c r="H91" s="83"/>
      <c r="I91" s="83"/>
    </row>
    <row r="92" customFormat="false" ht="15.75" hidden="false" customHeight="true" outlineLevel="0" collapsed="false">
      <c r="B92" s="91" t="str">
        <f aca="false">IF(Setup!$I$22="","",Setup!$I$22)</f>
        <v>Isla Petrova</v>
      </c>
      <c r="C92" s="89" t="str">
        <f aca="false">IF(Setup!$I$22="","",Setup!$J$22)</f>
        <v>Sales</v>
      </c>
      <c r="D92" s="79" t="n">
        <f aca="false">IF($B92="","",COUNTIF(BkWho,$B92))</f>
        <v>7</v>
      </c>
      <c r="E92" s="80" t="n">
        <f aca="false">IF($B92="","",SUMIF(BkWho,$B92,BkHours))</f>
        <v>7</v>
      </c>
      <c r="F92" s="82" t="n">
        <f aca="false">IF($B92="","",COUNTIFS(BkWho,$B92,BkShow,"No-show"))</f>
        <v>0</v>
      </c>
      <c r="G92" s="83" t="str">
        <f aca="false">IF($B92="","",REPT("█",MIN(28,$D92)))</f>
        <v>███████</v>
      </c>
      <c r="H92" s="83"/>
      <c r="I92" s="83"/>
    </row>
    <row r="93" customFormat="false" ht="15.75" hidden="false" customHeight="true" outlineLevel="0" collapsed="false">
      <c r="B93" s="91" t="str">
        <f aca="false">IF(Setup!$I$23="","",Setup!$I$23)</f>
        <v>Jonas Weber</v>
      </c>
      <c r="C93" s="89" t="str">
        <f aca="false">IF(Setup!$I$23="","",Setup!$J$23)</f>
        <v>People Ops</v>
      </c>
      <c r="D93" s="79" t="n">
        <f aca="false">IF($B93="","",COUNTIF(BkWho,$B93))</f>
        <v>6</v>
      </c>
      <c r="E93" s="80" t="n">
        <f aca="false">IF($B93="","",SUMIF(BkWho,$B93,BkHours))</f>
        <v>4</v>
      </c>
      <c r="F93" s="82" t="n">
        <f aca="false">IF($B93="","",COUNTIFS(BkWho,$B93,BkShow,"No-show"))</f>
        <v>0</v>
      </c>
      <c r="G93" s="83" t="str">
        <f aca="false">IF($B93="","",REPT("█",MIN(28,$D93)))</f>
        <v>██████</v>
      </c>
      <c r="H93" s="83"/>
      <c r="I93" s="83"/>
    </row>
    <row r="94" customFormat="false" ht="15.75" hidden="false" customHeight="true" outlineLevel="0" collapsed="false">
      <c r="B94" s="91" t="str">
        <f aca="false">IF(Setup!$I$24="","",Setup!$I$24)</f>
        <v>Priya Nair</v>
      </c>
      <c r="C94" s="89" t="str">
        <f aca="false">IF(Setup!$I$24="","",Setup!$J$24)</f>
        <v>Marketing</v>
      </c>
      <c r="D94" s="79" t="n">
        <f aca="false">IF($B94="","",COUNTIF(BkWho,$B94))</f>
        <v>5</v>
      </c>
      <c r="E94" s="80" t="n">
        <f aca="false">IF($B94="","",SUMIF(BkWho,$B94,BkHours))</f>
        <v>3.5</v>
      </c>
      <c r="F94" s="82" t="n">
        <f aca="false">IF($B94="","",COUNTIFS(BkWho,$B94,BkShow,"No-show"))</f>
        <v>0</v>
      </c>
      <c r="G94" s="83" t="str">
        <f aca="false">IF($B94="","",REPT("█",MIN(28,$D94)))</f>
        <v>█████</v>
      </c>
      <c r="H94" s="83"/>
      <c r="I94" s="83"/>
    </row>
    <row r="95" customFormat="false" ht="15.75" hidden="false" customHeight="true" outlineLevel="0" collapsed="false">
      <c r="B95" s="91" t="str">
        <f aca="false">IF(Setup!$I$25="","",Setup!$I$25)</f>
        <v>Tom Ashby</v>
      </c>
      <c r="C95" s="89" t="str">
        <f aca="false">IF(Setup!$I$25="","",Setup!$J$25)</f>
        <v>Marketing</v>
      </c>
      <c r="D95" s="79" t="n">
        <f aca="false">IF($B95="","",COUNTIF(BkWho,$B95))</f>
        <v>4</v>
      </c>
      <c r="E95" s="80" t="n">
        <f aca="false">IF($B95="","",SUMIF(BkWho,$B95,BkHours))</f>
        <v>3.5</v>
      </c>
      <c r="F95" s="82" t="n">
        <f aca="false">IF($B95="","",COUNTIFS(BkWho,$B95,BkShow,"No-show"))</f>
        <v>0</v>
      </c>
      <c r="G95" s="83" t="str">
        <f aca="false">IF($B95="","",REPT("█",MIN(28,$D95)))</f>
        <v>████</v>
      </c>
      <c r="H95" s="83"/>
      <c r="I95" s="83"/>
    </row>
    <row r="96" customFormat="false" ht="15.75" hidden="false" customHeight="true" outlineLevel="0" collapsed="false">
      <c r="B96" s="91" t="str">
        <f aca="false">IF(Setup!$I$26="","",Setup!$I$26)</f>
        <v>Nadia Haddad</v>
      </c>
      <c r="C96" s="89" t="str">
        <f aca="false">IF(Setup!$I$26="","",Setup!$J$26)</f>
        <v>Engineering</v>
      </c>
      <c r="D96" s="79" t="n">
        <f aca="false">IF($B96="","",COUNTIF(BkWho,$B96))</f>
        <v>4</v>
      </c>
      <c r="E96" s="80" t="n">
        <f aca="false">IF($B96="","",SUMIF(BkWho,$B96,BkHours))</f>
        <v>5</v>
      </c>
      <c r="F96" s="82" t="n">
        <f aca="false">IF($B96="","",COUNTIFS(BkWho,$B96,BkShow,"No-show"))</f>
        <v>0</v>
      </c>
      <c r="G96" s="83" t="str">
        <f aca="false">IF($B96="","",REPT("█",MIN(28,$D96)))</f>
        <v>████</v>
      </c>
      <c r="H96" s="83"/>
      <c r="I96" s="83"/>
    </row>
    <row r="97" customFormat="false" ht="15.75" hidden="false" customHeight="true" outlineLevel="0" collapsed="false">
      <c r="B97" s="91" t="str">
        <f aca="false">IF(Setup!$I$27="","",Setup!$I$27)</f>
        <v>Marcus Bell</v>
      </c>
      <c r="C97" s="89" t="str">
        <f aca="false">IF(Setup!$I$27="","",Setup!$J$27)</f>
        <v>Sales</v>
      </c>
      <c r="D97" s="79" t="n">
        <f aca="false">IF($B97="","",COUNTIF(BkWho,$B97))</f>
        <v>8</v>
      </c>
      <c r="E97" s="80" t="n">
        <f aca="false">IF($B97="","",SUMIF(BkWho,$B97,BkHours))</f>
        <v>6</v>
      </c>
      <c r="F97" s="82" t="n">
        <f aca="false">IF($B97="","",COUNTIFS(BkWho,$B97,BkShow,"No-show"))</f>
        <v>1</v>
      </c>
      <c r="G97" s="83" t="str">
        <f aca="false">IF($B97="","",REPT("█",MIN(28,$D97)))</f>
        <v>████████</v>
      </c>
      <c r="H97" s="83"/>
      <c r="I97" s="83"/>
    </row>
    <row r="98" customFormat="false" ht="15.75" hidden="false" customHeight="true" outlineLevel="0" collapsed="false">
      <c r="B98" s="91" t="str">
        <f aca="false">IF(Setup!$I$28="","",Setup!$I$28)</f>
        <v>Yuki Tanaka</v>
      </c>
      <c r="C98" s="89" t="str">
        <f aca="false">IF(Setup!$I$28="","",Setup!$J$28)</f>
        <v>Design</v>
      </c>
      <c r="D98" s="79" t="n">
        <f aca="false">IF($B98="","",COUNTIF(BkWho,$B98))</f>
        <v>7</v>
      </c>
      <c r="E98" s="80" t="n">
        <f aca="false">IF($B98="","",SUMIF(BkWho,$B98,BkHours))</f>
        <v>5.5</v>
      </c>
      <c r="F98" s="82" t="n">
        <f aca="false">IF($B98="","",COUNTIFS(BkWho,$B98,BkShow,"No-show"))</f>
        <v>0</v>
      </c>
      <c r="G98" s="83" t="str">
        <f aca="false">IF($B98="","",REPT("█",MIN(28,$D98)))</f>
        <v>███████</v>
      </c>
      <c r="H98" s="83"/>
      <c r="I98" s="83"/>
    </row>
    <row r="99" customFormat="false" ht="15.75" hidden="false" customHeight="true" outlineLevel="0" collapsed="false">
      <c r="B99" s="91" t="str">
        <f aca="false">IF(Setup!$I$29="","",Setup!$I$29)</f>
        <v>Ravi Menon</v>
      </c>
      <c r="C99" s="89" t="str">
        <f aca="false">IF(Setup!$I$29="","",Setup!$J$29)</f>
        <v>Engineering</v>
      </c>
      <c r="D99" s="79" t="n">
        <f aca="false">IF($B99="","",COUNTIF(BkWho,$B99))</f>
        <v>6</v>
      </c>
      <c r="E99" s="80" t="n">
        <f aca="false">IF($B99="","",SUMIF(BkWho,$B99,BkHours))</f>
        <v>4</v>
      </c>
      <c r="F99" s="82" t="n">
        <f aca="false">IF($B99="","",COUNTIFS(BkWho,$B99,BkShow,"No-show"))</f>
        <v>1</v>
      </c>
      <c r="G99" s="83" t="str">
        <f aca="false">IF($B99="","",REPT("█",MIN(28,$D99)))</f>
        <v>██████</v>
      </c>
      <c r="H99" s="83"/>
      <c r="I99" s="83"/>
    </row>
    <row r="100" customFormat="false" ht="15.75" hidden="false" customHeight="true" outlineLevel="0" collapsed="false">
      <c r="B100" s="91" t="str">
        <f aca="false">IF(Setup!$I$30="","",Setup!$I$30)</f>
        <v>Elena Costa</v>
      </c>
      <c r="C100" s="89" t="str">
        <f aca="false">IF(Setup!$I$30="","",Setup!$J$30)</f>
        <v>Finance</v>
      </c>
      <c r="D100" s="79" t="n">
        <f aca="false">IF($B100="","",COUNTIF(BkWho,$B100))</f>
        <v>9</v>
      </c>
      <c r="E100" s="80" t="n">
        <f aca="false">IF($B100="","",SUMIF(BkWho,$B100,BkHours))</f>
        <v>8.5</v>
      </c>
      <c r="F100" s="82" t="n">
        <f aca="false">IF($B100="","",COUNTIFS(BkWho,$B100,BkShow,"No-show"))</f>
        <v>0</v>
      </c>
      <c r="G100" s="83" t="str">
        <f aca="false">IF($B100="","",REPT("█",MIN(28,$D100)))</f>
        <v>█████████</v>
      </c>
      <c r="H100" s="83"/>
      <c r="I100" s="83"/>
    </row>
    <row r="101" customFormat="false" ht="15.75" hidden="false" customHeight="true" outlineLevel="0" collapsed="false">
      <c r="B101" s="91" t="str">
        <f aca="false">IF(Setup!$I$31="","",Setup!$I$31)</f>
        <v>Omar Farouk</v>
      </c>
      <c r="C101" s="89" t="str">
        <f aca="false">IF(Setup!$I$31="","",Setup!$J$31)</f>
        <v>Support</v>
      </c>
      <c r="D101" s="79" t="n">
        <f aca="false">IF($B101="","",COUNTIF(BkWho,$B101))</f>
        <v>7</v>
      </c>
      <c r="E101" s="80" t="n">
        <f aca="false">IF($B101="","",SUMIF(BkWho,$B101,BkHours))</f>
        <v>6</v>
      </c>
      <c r="F101" s="82" t="n">
        <f aca="false">IF($B101="","",COUNTIFS(BkWho,$B101,BkShow,"No-show"))</f>
        <v>0</v>
      </c>
      <c r="G101" s="83" t="str">
        <f aca="false">IF($B101="","",REPT("█",MIN(28,$D101)))</f>
        <v>███████</v>
      </c>
      <c r="H101" s="83"/>
      <c r="I101" s="83"/>
    </row>
    <row r="102" customFormat="false" ht="15.75" hidden="false" customHeight="true" outlineLevel="0" collapsed="false">
      <c r="B102" s="91" t="str">
        <f aca="false">IF(Setup!$I$32="","",Setup!$I$32)</f>
        <v>Chloe Dubois</v>
      </c>
      <c r="C102" s="89" t="str">
        <f aca="false">IF(Setup!$I$32="","",Setup!$J$32)</f>
        <v>Design</v>
      </c>
      <c r="D102" s="79" t="n">
        <f aca="false">IF($B102="","",COUNTIF(BkWho,$B102))</f>
        <v>9</v>
      </c>
      <c r="E102" s="80" t="n">
        <f aca="false">IF($B102="","",SUMIF(BkWho,$B102,BkHours))</f>
        <v>7</v>
      </c>
      <c r="F102" s="82" t="n">
        <f aca="false">IF($B102="","",COUNTIFS(BkWho,$B102,BkShow,"No-show"))</f>
        <v>1</v>
      </c>
      <c r="G102" s="83" t="str">
        <f aca="false">IF($B102="","",REPT("█",MIN(28,$D102)))</f>
        <v>█████████</v>
      </c>
      <c r="H102" s="83"/>
      <c r="I102" s="83"/>
    </row>
    <row r="103" customFormat="false" ht="15.75" hidden="false" customHeight="true" outlineLevel="0" collapsed="false">
      <c r="B103" s="91" t="str">
        <f aca="false">IF(Setup!$I$33="","",Setup!$I$33)</f>
        <v>Diego Ferrer</v>
      </c>
      <c r="C103" s="89" t="str">
        <f aca="false">IF(Setup!$I$33="","",Setup!$J$33)</f>
        <v>Support</v>
      </c>
      <c r="D103" s="79" t="n">
        <f aca="false">IF($B103="","",COUNTIF(BkWho,$B103))</f>
        <v>1</v>
      </c>
      <c r="E103" s="80" t="n">
        <f aca="false">IF($B103="","",SUMIF(BkWho,$B103,BkHours))</f>
        <v>1</v>
      </c>
      <c r="F103" s="82" t="n">
        <f aca="false">IF($B103="","",COUNTIFS(BkWho,$B103,BkShow,"No-show"))</f>
        <v>0</v>
      </c>
      <c r="G103" s="83" t="str">
        <f aca="false">IF($B103="","",REPT("█",MIN(28,$D103)))</f>
        <v>█</v>
      </c>
      <c r="H103" s="83"/>
      <c r="I103" s="83"/>
    </row>
    <row r="104" customFormat="false" ht="15.75" hidden="false" customHeight="true" outlineLevel="0" collapsed="false">
      <c r="B104" s="91" t="str">
        <f aca="false">IF(Setup!$I$34="","",Setup!$I$34)</f>
        <v>Hana Kim</v>
      </c>
      <c r="C104" s="89" t="str">
        <f aca="false">IF(Setup!$I$34="","",Setup!$J$34)</f>
        <v>Finance</v>
      </c>
      <c r="D104" s="79" t="n">
        <f aca="false">IF($B104="","",COUNTIF(BkWho,$B104))</f>
        <v>4</v>
      </c>
      <c r="E104" s="80" t="n">
        <f aca="false">IF($B104="","",SUMIF(BkWho,$B104,BkHours))</f>
        <v>4</v>
      </c>
      <c r="F104" s="82" t="n">
        <f aca="false">IF($B104="","",COUNTIFS(BkWho,$B104,BkShow,"No-show"))</f>
        <v>1</v>
      </c>
      <c r="G104" s="83" t="str">
        <f aca="false">IF($B104="","",REPT("█",MIN(28,$D104)))</f>
        <v>████</v>
      </c>
      <c r="H104" s="83"/>
      <c r="I104" s="83"/>
    </row>
    <row r="105" customFormat="false" ht="15.75" hidden="false" customHeight="true" outlineLevel="0" collapsed="false">
      <c r="B105" s="91" t="str">
        <f aca="false">IF(Setup!$I$35="","",Setup!$I$35)</f>
        <v>Felix Brandt</v>
      </c>
      <c r="C105" s="89" t="str">
        <f aca="false">IF(Setup!$I$35="","",Setup!$J$35)</f>
        <v>Product</v>
      </c>
      <c r="D105" s="79" t="n">
        <f aca="false">IF($B105="","",COUNTIF(BkWho,$B105))</f>
        <v>3</v>
      </c>
      <c r="E105" s="80" t="n">
        <f aca="false">IF($B105="","",SUMIF(BkWho,$B105,BkHours))</f>
        <v>2.5</v>
      </c>
      <c r="F105" s="82" t="n">
        <f aca="false">IF($B105="","",COUNTIFS(BkWho,$B105,BkShow,"No-show"))</f>
        <v>0</v>
      </c>
      <c r="G105" s="83" t="str">
        <f aca="false">IF($B105="","",REPT("█",MIN(28,$D105)))</f>
        <v>███</v>
      </c>
      <c r="H105" s="83"/>
      <c r="I105" s="83"/>
    </row>
    <row r="106" customFormat="false" ht="15.75" hidden="false" customHeight="true" outlineLevel="0" collapsed="false">
      <c r="B106" s="91" t="str">
        <f aca="false">IF(Setup!$I$36="","",Setup!$I$36)</f>
        <v/>
      </c>
      <c r="C106" s="89" t="str">
        <f aca="false">IF(Setup!$I$36="","",Setup!$J$36)</f>
        <v/>
      </c>
      <c r="D106" s="79" t="str">
        <f aca="false">IF($B106="","",COUNTIF(BkWho,$B106))</f>
        <v/>
      </c>
      <c r="E106" s="80" t="str">
        <f aca="false">IF($B106="","",SUMIF(BkWho,$B106,BkHours))</f>
        <v/>
      </c>
      <c r="F106" s="82" t="str">
        <f aca="false">IF($B106="","",COUNTIFS(BkWho,$B106,BkShow,"No-show"))</f>
        <v/>
      </c>
      <c r="G106" s="83" t="str">
        <f aca="false">IF($B106="","",REPT("█",MIN(28,$D106)))</f>
        <v/>
      </c>
      <c r="H106" s="83"/>
      <c r="I106" s="83"/>
    </row>
    <row r="107" customFormat="false" ht="15.75" hidden="false" customHeight="true" outlineLevel="0" collapsed="false">
      <c r="B107" s="91" t="str">
        <f aca="false">IF(Setup!$I$37="","",Setup!$I$37)</f>
        <v/>
      </c>
      <c r="C107" s="89" t="str">
        <f aca="false">IF(Setup!$I$37="","",Setup!$J$37)</f>
        <v/>
      </c>
      <c r="D107" s="79" t="str">
        <f aca="false">IF($B107="","",COUNTIF(BkWho,$B107))</f>
        <v/>
      </c>
      <c r="E107" s="80" t="str">
        <f aca="false">IF($B107="","",SUMIF(BkWho,$B107,BkHours))</f>
        <v/>
      </c>
      <c r="F107" s="82" t="str">
        <f aca="false">IF($B107="","",COUNTIFS(BkWho,$B107,BkShow,"No-show"))</f>
        <v/>
      </c>
      <c r="G107" s="83" t="str">
        <f aca="false">IF($B107="","",REPT("█",MIN(28,$D107)))</f>
        <v/>
      </c>
      <c r="H107" s="83"/>
      <c r="I107" s="83"/>
    </row>
    <row r="108" customFormat="false" ht="15.75" hidden="false" customHeight="true" outlineLevel="0" collapsed="false">
      <c r="B108" s="91" t="str">
        <f aca="false">IF(Setup!$I$38="","",Setup!$I$38)</f>
        <v/>
      </c>
      <c r="C108" s="89" t="str">
        <f aca="false">IF(Setup!$I$38="","",Setup!$J$38)</f>
        <v/>
      </c>
      <c r="D108" s="79" t="str">
        <f aca="false">IF($B108="","",COUNTIF(BkWho,$B108))</f>
        <v/>
      </c>
      <c r="E108" s="80" t="str">
        <f aca="false">IF($B108="","",SUMIF(BkWho,$B108,BkHours))</f>
        <v/>
      </c>
      <c r="F108" s="82" t="str">
        <f aca="false">IF($B108="","",COUNTIFS(BkWho,$B108,BkShow,"No-show"))</f>
        <v/>
      </c>
      <c r="G108" s="83" t="str">
        <f aca="false">IF($B108="","",REPT("█",MIN(28,$D108)))</f>
        <v/>
      </c>
      <c r="H108" s="83"/>
      <c r="I108" s="83"/>
    </row>
    <row r="109" customFormat="false" ht="15.75" hidden="false" customHeight="true" outlineLevel="0" collapsed="false">
      <c r="B109" s="91" t="str">
        <f aca="false">IF(Setup!$I$39="","",Setup!$I$39)</f>
        <v/>
      </c>
      <c r="C109" s="89" t="str">
        <f aca="false">IF(Setup!$I$39="","",Setup!$J$39)</f>
        <v/>
      </c>
      <c r="D109" s="79" t="str">
        <f aca="false">IF($B109="","",COUNTIF(BkWho,$B109))</f>
        <v/>
      </c>
      <c r="E109" s="80" t="str">
        <f aca="false">IF($B109="","",SUMIF(BkWho,$B109,BkHours))</f>
        <v/>
      </c>
      <c r="F109" s="82" t="str">
        <f aca="false">IF($B109="","",COUNTIFS(BkWho,$B109,BkShow,"No-show"))</f>
        <v/>
      </c>
      <c r="G109" s="83" t="str">
        <f aca="false">IF($B109="","",REPT("█",MIN(28,$D109)))</f>
        <v/>
      </c>
      <c r="H109" s="83"/>
      <c r="I109" s="83"/>
    </row>
    <row r="110" customFormat="false" ht="15.75" hidden="false" customHeight="true" outlineLevel="0" collapsed="false">
      <c r="B110" s="91" t="str">
        <f aca="false">IF(Setup!$I$40="","",Setup!$I$40)</f>
        <v/>
      </c>
      <c r="C110" s="89" t="str">
        <f aca="false">IF(Setup!$I$40="","",Setup!$J$40)</f>
        <v/>
      </c>
      <c r="D110" s="79" t="str">
        <f aca="false">IF($B110="","",COUNTIF(BkWho,$B110))</f>
        <v/>
      </c>
      <c r="E110" s="80" t="str">
        <f aca="false">IF($B110="","",SUMIF(BkWho,$B110,BkHours))</f>
        <v/>
      </c>
      <c r="F110" s="82" t="str">
        <f aca="false">IF($B110="","",COUNTIFS(BkWho,$B110,BkShow,"No-show"))</f>
        <v/>
      </c>
      <c r="G110" s="83" t="str">
        <f aca="false">IF($B110="","",REPT("█",MIN(28,$D110)))</f>
        <v/>
      </c>
      <c r="H110" s="83"/>
      <c r="I110" s="83"/>
    </row>
    <row r="111" customFormat="false" ht="15.75" hidden="false" customHeight="true" outlineLevel="0" collapsed="false">
      <c r="B111" s="91" t="str">
        <f aca="false">IF(Setup!$I$41="","",Setup!$I$41)</f>
        <v/>
      </c>
      <c r="C111" s="89" t="str">
        <f aca="false">IF(Setup!$I$41="","",Setup!$J$41)</f>
        <v/>
      </c>
      <c r="D111" s="79" t="str">
        <f aca="false">IF($B111="","",COUNTIF(BkWho,$B111))</f>
        <v/>
      </c>
      <c r="E111" s="80" t="str">
        <f aca="false">IF($B111="","",SUMIF(BkWho,$B111,BkHours))</f>
        <v/>
      </c>
      <c r="F111" s="82" t="str">
        <f aca="false">IF($B111="","",COUNTIFS(BkWho,$B111,BkShow,"No-show"))</f>
        <v/>
      </c>
      <c r="G111" s="83" t="str">
        <f aca="false">IF($B111="","",REPT("█",MIN(28,$D111)))</f>
        <v/>
      </c>
      <c r="H111" s="83"/>
      <c r="I111" s="83"/>
    </row>
    <row r="112" customFormat="false" ht="15.75" hidden="false" customHeight="true" outlineLevel="0" collapsed="false">
      <c r="B112" s="91" t="str">
        <f aca="false">IF(Setup!$I$42="","",Setup!$I$42)</f>
        <v/>
      </c>
      <c r="C112" s="89" t="str">
        <f aca="false">IF(Setup!$I$42="","",Setup!$J$42)</f>
        <v/>
      </c>
      <c r="D112" s="79" t="str">
        <f aca="false">IF($B112="","",COUNTIF(BkWho,$B112))</f>
        <v/>
      </c>
      <c r="E112" s="80" t="str">
        <f aca="false">IF($B112="","",SUMIF(BkWho,$B112,BkHours))</f>
        <v/>
      </c>
      <c r="F112" s="82" t="str">
        <f aca="false">IF($B112="","",COUNTIFS(BkWho,$B112,BkShow,"No-show"))</f>
        <v/>
      </c>
      <c r="G112" s="83" t="str">
        <f aca="false">IF($B112="","",REPT("█",MIN(28,$D112)))</f>
        <v/>
      </c>
      <c r="H112" s="83"/>
      <c r="I112" s="83"/>
    </row>
    <row r="113" customFormat="false" ht="15.75" hidden="false" customHeight="true" outlineLevel="0" collapsed="false">
      <c r="B113" s="91" t="str">
        <f aca="false">IF(Setup!$I$43="","",Setup!$I$43)</f>
        <v/>
      </c>
      <c r="C113" s="89" t="str">
        <f aca="false">IF(Setup!$I$43="","",Setup!$J$43)</f>
        <v/>
      </c>
      <c r="D113" s="79" t="str">
        <f aca="false">IF($B113="","",COUNTIF(BkWho,$B113))</f>
        <v/>
      </c>
      <c r="E113" s="80" t="str">
        <f aca="false">IF($B113="","",SUMIF(BkWho,$B113,BkHours))</f>
        <v/>
      </c>
      <c r="F113" s="82" t="str">
        <f aca="false">IF($B113="","",COUNTIFS(BkWho,$B113,BkShow,"No-show"))</f>
        <v/>
      </c>
      <c r="G113" s="83" t="str">
        <f aca="false">IF($B113="","",REPT("█",MIN(28,$D113)))</f>
        <v/>
      </c>
      <c r="H113" s="83"/>
      <c r="I113" s="83"/>
    </row>
    <row r="114" customFormat="false" ht="15.75" hidden="false" customHeight="true" outlineLevel="0" collapsed="false">
      <c r="B114" s="91" t="str">
        <f aca="false">IF(Setup!$I$44="","",Setup!$I$44)</f>
        <v/>
      </c>
      <c r="C114" s="89" t="str">
        <f aca="false">IF(Setup!$I$44="","",Setup!$J$44)</f>
        <v/>
      </c>
      <c r="D114" s="79" t="str">
        <f aca="false">IF($B114="","",COUNTIF(BkWho,$B114))</f>
        <v/>
      </c>
      <c r="E114" s="80" t="str">
        <f aca="false">IF($B114="","",SUMIF(BkWho,$B114,BkHours))</f>
        <v/>
      </c>
      <c r="F114" s="82" t="str">
        <f aca="false">IF($B114="","",COUNTIFS(BkWho,$B114,BkShow,"No-show"))</f>
        <v/>
      </c>
      <c r="G114" s="83" t="str">
        <f aca="false">IF($B114="","",REPT("█",MIN(28,$D114)))</f>
        <v/>
      </c>
      <c r="H114" s="83"/>
      <c r="I114" s="83"/>
    </row>
    <row r="115" customFormat="false" ht="15.75" hidden="false" customHeight="true" outlineLevel="0" collapsed="false">
      <c r="B115" s="91" t="str">
        <f aca="false">IF(Setup!$I$45="","",Setup!$I$45)</f>
        <v/>
      </c>
      <c r="C115" s="89" t="str">
        <f aca="false">IF(Setup!$I$45="","",Setup!$J$45)</f>
        <v/>
      </c>
      <c r="D115" s="79" t="str">
        <f aca="false">IF($B115="","",COUNTIF(BkWho,$B115))</f>
        <v/>
      </c>
      <c r="E115" s="80" t="str">
        <f aca="false">IF($B115="","",SUMIF(BkWho,$B115,BkHours))</f>
        <v/>
      </c>
      <c r="F115" s="82" t="str">
        <f aca="false">IF($B115="","",COUNTIFS(BkWho,$B115,BkShow,"No-show"))</f>
        <v/>
      </c>
      <c r="G115" s="83" t="str">
        <f aca="false">IF($B115="","",REPT("█",MIN(28,$D115)))</f>
        <v/>
      </c>
      <c r="H115" s="83"/>
      <c r="I115" s="83"/>
    </row>
    <row r="117" customFormat="false" ht="21.75" hidden="false" customHeight="true" outlineLevel="0" collapsed="false">
      <c r="B117" s="9" t="s">
        <v>223</v>
      </c>
      <c r="C117" s="9"/>
      <c r="D117" s="9"/>
      <c r="E117" s="9"/>
      <c r="F117" s="9"/>
      <c r="G117" s="9"/>
      <c r="H117" s="9"/>
      <c r="I117" s="9"/>
      <c r="J117" s="9"/>
    </row>
    <row r="118" customFormat="false" ht="25.5" hidden="false" customHeight="true" outlineLevel="0" collapsed="false">
      <c r="B118" s="92" t="s">
        <v>224</v>
      </c>
      <c r="C118" s="92"/>
      <c r="D118" s="92"/>
      <c r="E118" s="92"/>
      <c r="F118" s="92"/>
      <c r="G118" s="92"/>
      <c r="H118" s="92"/>
      <c r="I118" s="92"/>
      <c r="J118" s="92"/>
    </row>
    <row r="119" customFormat="false" ht="30" hidden="false" customHeight="true" outlineLevel="0" collapsed="false">
      <c r="B119" s="1"/>
      <c r="C119" s="12" t="s">
        <v>26</v>
      </c>
      <c r="D119" s="12"/>
      <c r="E119" s="12"/>
      <c r="F119" s="1"/>
      <c r="G119" s="13" t="s">
        <v>27</v>
      </c>
      <c r="H119" s="13"/>
      <c r="I119" s="13"/>
      <c r="J119" s="13"/>
    </row>
    <row r="120" customFormat="false" ht="15" hidden="false" customHeight="true" outlineLevel="0" collapsed="false">
      <c r="B120" s="1"/>
      <c r="C120" s="14" t="s">
        <v>225</v>
      </c>
      <c r="D120" s="14"/>
      <c r="E120" s="14"/>
      <c r="F120" s="1"/>
      <c r="G120" s="14" t="s">
        <v>226</v>
      </c>
      <c r="H120" s="14"/>
      <c r="I120" s="14"/>
      <c r="J120" s="14"/>
    </row>
    <row r="121" customFormat="false" ht="18" hidden="false" customHeight="true" outlineLevel="0" collapsed="false">
      <c r="B121" s="1"/>
      <c r="C121" s="1"/>
      <c r="D121" s="1"/>
      <c r="E121" s="1"/>
      <c r="F121" s="1"/>
      <c r="G121" s="1"/>
      <c r="H121" s="1"/>
      <c r="I121" s="1"/>
      <c r="J121" s="1"/>
    </row>
  </sheetData>
  <mergeCells count="93">
    <mergeCell ref="B1:G1"/>
    <mergeCell ref="H1:J1"/>
    <mergeCell ref="B3:G3"/>
    <mergeCell ref="H3:J3"/>
    <mergeCell ref="B11:I11"/>
    <mergeCell ref="E12:I12"/>
    <mergeCell ref="E13:I13"/>
    <mergeCell ref="E14:I14"/>
    <mergeCell ref="E15:I15"/>
    <mergeCell ref="E16:I16"/>
    <mergeCell ref="E17:I17"/>
    <mergeCell ref="B18:I18"/>
    <mergeCell ref="B19:I19"/>
    <mergeCell ref="B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B35:I35"/>
    <mergeCell ref="F37:I37"/>
    <mergeCell ref="F38:I38"/>
    <mergeCell ref="F39:I39"/>
    <mergeCell ref="F40:I40"/>
    <mergeCell ref="F41:I41"/>
    <mergeCell ref="F42:I42"/>
    <mergeCell ref="B43:I43"/>
    <mergeCell ref="B45:I45"/>
    <mergeCell ref="B60:I60"/>
    <mergeCell ref="B62:I62"/>
    <mergeCell ref="F64:I64"/>
    <mergeCell ref="F65:I65"/>
    <mergeCell ref="F66:I66"/>
    <mergeCell ref="F67:I67"/>
    <mergeCell ref="F68:I68"/>
    <mergeCell ref="F69:I69"/>
    <mergeCell ref="F70:I70"/>
    <mergeCell ref="F71:I71"/>
    <mergeCell ref="F72:I72"/>
    <mergeCell ref="F73:I73"/>
    <mergeCell ref="F74:I74"/>
    <mergeCell ref="F75:I75"/>
    <mergeCell ref="F76:I76"/>
    <mergeCell ref="F77:I77"/>
    <mergeCell ref="F78:I78"/>
    <mergeCell ref="F79:I79"/>
    <mergeCell ref="F80:I80"/>
    <mergeCell ref="B81:I81"/>
    <mergeCell ref="B83:I83"/>
    <mergeCell ref="G85:I85"/>
    <mergeCell ref="G86:I86"/>
    <mergeCell ref="G87:I87"/>
    <mergeCell ref="G88:I88"/>
    <mergeCell ref="G89:I89"/>
    <mergeCell ref="G90:I90"/>
    <mergeCell ref="G91:I91"/>
    <mergeCell ref="G92:I92"/>
    <mergeCell ref="G93:I93"/>
    <mergeCell ref="G94:I94"/>
    <mergeCell ref="G95:I95"/>
    <mergeCell ref="G96:I96"/>
    <mergeCell ref="G97:I97"/>
    <mergeCell ref="G98:I98"/>
    <mergeCell ref="G99:I99"/>
    <mergeCell ref="G100:I100"/>
    <mergeCell ref="G101:I101"/>
    <mergeCell ref="G102:I102"/>
    <mergeCell ref="G103:I103"/>
    <mergeCell ref="G104:I104"/>
    <mergeCell ref="G105:I105"/>
    <mergeCell ref="G106:I106"/>
    <mergeCell ref="G107:I107"/>
    <mergeCell ref="G108:I108"/>
    <mergeCell ref="G109:I109"/>
    <mergeCell ref="G110:I110"/>
    <mergeCell ref="G111:I111"/>
    <mergeCell ref="G112:I112"/>
    <mergeCell ref="G113:I113"/>
    <mergeCell ref="G114:I114"/>
    <mergeCell ref="G115:I115"/>
    <mergeCell ref="B117:J117"/>
    <mergeCell ref="B118:J118"/>
    <mergeCell ref="C119:E119"/>
    <mergeCell ref="G119:J119"/>
    <mergeCell ref="C120:E120"/>
    <mergeCell ref="G120:J120"/>
  </mergeCells>
  <conditionalFormatting sqref="F86:F115">
    <cfRule type="expression" priority="2" aboveAverage="0" equalAverage="0" bottom="0" percent="0" rank="0" text="" dxfId="6">
      <formula>AND(ISNUMBER($F86),$F86&gt;=2)</formula>
    </cfRule>
  </conditionalFormatting>
  <conditionalFormatting sqref="G48:G59">
    <cfRule type="expression" priority="3" aboveAverage="0" equalAverage="0" bottom="0" percent="0" rank="0" text="" dxfId="6">
      <formula>AND(ISNUMBER($G48),$G48&gt;0.75)</formula>
    </cfRule>
    <cfRule type="expression" priority="4" aboveAverage="0" equalAverage="0" bottom="0" percent="0" rank="0" text="" dxfId="3">
      <formula>AND(ISNUMBER($G48),$G48&lt;0.2)</formula>
    </cfRule>
  </conditionalFormatting>
  <conditionalFormatting sqref="E65:E80">
    <cfRule type="expression" priority="5" aboveAverage="0" equalAverage="0" bottom="0" percent="0" rank="0" text="" dxfId="7">
      <formula>$E65&gt;0.75</formula>
    </cfRule>
  </conditionalFormatting>
  <hyperlinks>
    <hyperlink ref="H1" r:id="rId1" display="Book a live demo  →  "/>
    <hyperlink ref="C119" r:id="rId2" display="►  BOOK A LIVE DEMO"/>
    <hyperlink ref="G119" r:id="rId3" display="Explore OfficeRnD Workplace  →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E20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>
    <row r="1" customFormat="false" ht="15" hidden="false" customHeight="false" outlineLevel="0" collapsed="false">
      <c r="A1" s="93" t="s">
        <v>227</v>
      </c>
    </row>
    <row r="2" customFormat="false" ht="15" hidden="false" customHeight="false" outlineLevel="0" collapsed="false">
      <c r="A2" s="94" t="s">
        <v>228</v>
      </c>
      <c r="B2" s="95" t="n">
        <f aca="false">ScheduleStart</f>
        <v>46237</v>
      </c>
      <c r="C2" s="95" t="n">
        <f aca="false">B2+1</f>
        <v>46238</v>
      </c>
      <c r="D2" s="95" t="n">
        <f aca="false">C2+1</f>
        <v>46239</v>
      </c>
      <c r="E2" s="95" t="n">
        <f aca="false">D2+1</f>
        <v>46240</v>
      </c>
      <c r="F2" s="95" t="n">
        <f aca="false">E2+1</f>
        <v>46241</v>
      </c>
      <c r="G2" s="95" t="n">
        <f aca="false">F2+3</f>
        <v>46244</v>
      </c>
      <c r="H2" s="95" t="n">
        <f aca="false">G2+1</f>
        <v>46245</v>
      </c>
      <c r="I2" s="95" t="n">
        <f aca="false">H2+1</f>
        <v>46246</v>
      </c>
      <c r="J2" s="95" t="n">
        <f aca="false">I2+1</f>
        <v>46247</v>
      </c>
      <c r="K2" s="95" t="n">
        <f aca="false">J2+1</f>
        <v>46248</v>
      </c>
      <c r="M2" s="0" t="str">
        <f aca="false">IF(Setup!$C$16="","",Setup!$C$16)</f>
        <v>Aurora</v>
      </c>
      <c r="N2" s="0" t="str">
        <f aca="false">IF(Setup!$C$17="","",Setup!$C$17)</f>
        <v>Borealis</v>
      </c>
      <c r="O2" s="0" t="str">
        <f aca="false">IF(Setup!$C$18="","",Setup!$C$18)</f>
        <v>Cirrus</v>
      </c>
      <c r="P2" s="0" t="str">
        <f aca="false">IF(Setup!$C$19="","",Setup!$C$19)</f>
        <v>Delta</v>
      </c>
      <c r="Q2" s="0" t="str">
        <f aca="false">IF(Setup!$C$20="","",Setup!$C$20)</f>
        <v>Everest</v>
      </c>
      <c r="R2" s="0" t="str">
        <f aca="false">IF(Setup!$C$21="","",Setup!$C$21)</f>
        <v>Fjord</v>
      </c>
      <c r="S2" s="0" t="str">
        <f aca="false">IF(Setup!$C$22="","",Setup!$C$22)</f>
        <v/>
      </c>
      <c r="T2" s="0" t="str">
        <f aca="false">IF(Setup!$C$23="","",Setup!$C$23)</f>
        <v/>
      </c>
      <c r="U2" s="0" t="str">
        <f aca="false">IF(Setup!$C$24="","",Setup!$C$24)</f>
        <v/>
      </c>
      <c r="V2" s="0" t="str">
        <f aca="false">IF(Setup!$C$25="","",Setup!$C$25)</f>
        <v/>
      </c>
      <c r="W2" s="0" t="str">
        <f aca="false">IF(Setup!$C$26="","",Setup!$C$26)</f>
        <v/>
      </c>
      <c r="X2" s="0" t="str">
        <f aca="false">IF(Setup!$C$27="","",Setup!$C$27)</f>
        <v/>
      </c>
      <c r="AD2" s="96" t="s">
        <v>229</v>
      </c>
    </row>
    <row r="3" customFormat="false" ht="15" hidden="false" customHeight="false" outlineLevel="0" collapsed="false">
      <c r="A3" s="97" t="n">
        <f aca="false">$AE3/1440</f>
        <v>0.375</v>
      </c>
      <c r="B3" s="96" t="n">
        <f aca="false">SUMPRODUCT(MAX((BkRoom=SelRoom)*(BkDate=B$2)*(BkStartMin&lt;=$AE$3)*(BkEndMin&gt;$AE$3)*ROW(BkDate)))</f>
        <v>0</v>
      </c>
      <c r="C3" s="96" t="n">
        <f aca="false">SUMPRODUCT(MAX((BkRoom=SelRoom)*(BkDate=C$2)*(BkStartMin&lt;=$AE$3)*(BkEndMin&gt;$AE$3)*ROW(BkDate)))</f>
        <v>0</v>
      </c>
      <c r="D3" s="96" t="n">
        <f aca="false">SUMPRODUCT(MAX((BkRoom=SelRoom)*(BkDate=D$2)*(BkStartMin&lt;=$AE$3)*(BkEndMin&gt;$AE$3)*ROW(BkDate)))</f>
        <v>0</v>
      </c>
      <c r="E3" s="96" t="n">
        <f aca="false">SUMPRODUCT(MAX((BkRoom=SelRoom)*(BkDate=E$2)*(BkStartMin&lt;=$AE$3)*(BkEndMin&gt;$AE$3)*ROW(BkDate)))</f>
        <v>0</v>
      </c>
      <c r="F3" s="96" t="n">
        <f aca="false">SUMPRODUCT(MAX((BkRoom=SelRoom)*(BkDate=F$2)*(BkStartMin&lt;=$AE$3)*(BkEndMin&gt;$AE$3)*ROW(BkDate)))</f>
        <v>0</v>
      </c>
      <c r="G3" s="96" t="n">
        <f aca="false">SUMPRODUCT(MAX((BkRoom=SelRoom)*(BkDate=G$2)*(BkStartMin&lt;=$AE$3)*(BkEndMin&gt;$AE$3)*ROW(BkDate)))</f>
        <v>0</v>
      </c>
      <c r="H3" s="96" t="n">
        <f aca="false">SUMPRODUCT(MAX((BkRoom=SelRoom)*(BkDate=H$2)*(BkStartMin&lt;=$AE$3)*(BkEndMin&gt;$AE$3)*ROW(BkDate)))</f>
        <v>81</v>
      </c>
      <c r="I3" s="96" t="n">
        <f aca="false">SUMPRODUCT(MAX((BkRoom=SelRoom)*(BkDate=I$2)*(BkStartMin&lt;=$AE$3)*(BkEndMin&gt;$AE$3)*ROW(BkDate)))</f>
        <v>93</v>
      </c>
      <c r="J3" s="96" t="n">
        <f aca="false">SUMPRODUCT(MAX((BkRoom=SelRoom)*(BkDate=J$2)*(BkStartMin&lt;=$AE$3)*(BkEndMin&gt;$AE$3)*ROW(BkDate)))</f>
        <v>0</v>
      </c>
      <c r="K3" s="96" t="n">
        <f aca="false">SUMPRODUCT(MAX((BkRoom=SelRoom)*(BkDate=K$2)*(BkStartMin&lt;=$AE$3)*(BkEndMin&gt;$AE$3)*ROW(BkDate)))</f>
        <v>0</v>
      </c>
      <c r="M3" s="96" t="n">
        <f aca="false">SUMPRODUCT(MAX((BkRoom=M$2)*(BkDate=SelDate)*(BkStartMin&lt;=$AE$3)*(BkEndMin&gt;$AE$3)*(M$2&lt;&gt;"")*ROW(BkDate)))</f>
        <v>0</v>
      </c>
      <c r="N3" s="96" t="n">
        <f aca="false">SUMPRODUCT(MAX((BkRoom=N$2)*(BkDate=SelDate)*(BkStartMin&lt;=$AE$3)*(BkEndMin&gt;$AE$3)*(N$2&lt;&gt;"")*ROW(BkDate)))</f>
        <v>0</v>
      </c>
      <c r="O3" s="96" t="n">
        <f aca="false">SUMPRODUCT(MAX((BkRoom=O$2)*(BkDate=SelDate)*(BkStartMin&lt;=$AE$3)*(BkEndMin&gt;$AE$3)*(O$2&lt;&gt;"")*ROW(BkDate)))</f>
        <v>0</v>
      </c>
      <c r="P3" s="96" t="n">
        <f aca="false">SUMPRODUCT(MAX((BkRoom=P$2)*(BkDate=SelDate)*(BkStartMin&lt;=$AE$3)*(BkEndMin&gt;$AE$3)*(P$2&lt;&gt;"")*ROW(BkDate)))</f>
        <v>0</v>
      </c>
      <c r="Q3" s="96" t="n">
        <f aca="false">SUMPRODUCT(MAX((BkRoom=Q$2)*(BkDate=SelDate)*(BkStartMin&lt;=$AE$3)*(BkEndMin&gt;$AE$3)*(Q$2&lt;&gt;"")*ROW(BkDate)))</f>
        <v>9</v>
      </c>
      <c r="R3" s="96" t="n">
        <f aca="false">SUMPRODUCT(MAX((BkRoom=R$2)*(BkDate=SelDate)*(BkStartMin&lt;=$AE$3)*(BkEndMin&gt;$AE$3)*(R$2&lt;&gt;"")*ROW(BkDate)))</f>
        <v>10</v>
      </c>
      <c r="S3" s="96" t="n">
        <f aca="false">SUMPRODUCT(MAX((BkRoom=S$2)*(BkDate=SelDate)*(BkStartMin&lt;=$AE$3)*(BkEndMin&gt;$AE$3)*(S$2&lt;&gt;"")*ROW(BkDate)))</f>
        <v>0</v>
      </c>
      <c r="T3" s="96" t="n">
        <f aca="false">SUMPRODUCT(MAX((BkRoom=T$2)*(BkDate=SelDate)*(BkStartMin&lt;=$AE$3)*(BkEndMin&gt;$AE$3)*(T$2&lt;&gt;"")*ROW(BkDate)))</f>
        <v>0</v>
      </c>
      <c r="U3" s="96" t="n">
        <f aca="false">SUMPRODUCT(MAX((BkRoom=U$2)*(BkDate=SelDate)*(BkStartMin&lt;=$AE$3)*(BkEndMin&gt;$AE$3)*(U$2&lt;&gt;"")*ROW(BkDate)))</f>
        <v>0</v>
      </c>
      <c r="V3" s="96" t="n">
        <f aca="false">SUMPRODUCT(MAX((BkRoom=V$2)*(BkDate=SelDate)*(BkStartMin&lt;=$AE$3)*(BkEndMin&gt;$AE$3)*(V$2&lt;&gt;"")*ROW(BkDate)))</f>
        <v>0</v>
      </c>
      <c r="W3" s="96" t="n">
        <f aca="false">SUMPRODUCT(MAX((BkRoom=W$2)*(BkDate=SelDate)*(BkStartMin&lt;=$AE$3)*(BkEndMin&gt;$AE$3)*(W$2&lt;&gt;"")*ROW(BkDate)))</f>
        <v>0</v>
      </c>
      <c r="X3" s="96" t="n">
        <f aca="false">SUMPRODUCT(MAX((BkRoom=X$2)*(BkDate=SelDate)*(BkStartMin&lt;=$AE$3)*(BkEndMin&gt;$AE$3)*(X$2&lt;&gt;"")*ROW(BkDate)))</f>
        <v>0</v>
      </c>
      <c r="AE3" s="98" t="n">
        <f aca="false">ROUND(DayStart*1440,0)</f>
        <v>540</v>
      </c>
    </row>
    <row r="4" customFormat="false" ht="15" hidden="false" customHeight="false" outlineLevel="0" collapsed="false">
      <c r="A4" s="97" t="n">
        <f aca="false">$AE4/1440</f>
        <v>0.395833333333333</v>
      </c>
      <c r="B4" s="96" t="n">
        <f aca="false">SUMPRODUCT(MAX((BkRoom=SelRoom)*(BkDate=B$2)*(BkStartMin&lt;=$AE$4)*(BkEndMin&gt;$AE$4)*ROW(BkDate)))</f>
        <v>0</v>
      </c>
      <c r="C4" s="96" t="n">
        <f aca="false">SUMPRODUCT(MAX((BkRoom=SelRoom)*(BkDate=C$2)*(BkStartMin&lt;=$AE$4)*(BkEndMin&gt;$AE$4)*ROW(BkDate)))</f>
        <v>0</v>
      </c>
      <c r="D4" s="96" t="n">
        <f aca="false">SUMPRODUCT(MAX((BkRoom=SelRoom)*(BkDate=D$2)*(BkStartMin&lt;=$AE$4)*(BkEndMin&gt;$AE$4)*ROW(BkDate)))</f>
        <v>0</v>
      </c>
      <c r="E4" s="96" t="n">
        <f aca="false">SUMPRODUCT(MAX((BkRoom=SelRoom)*(BkDate=E$2)*(BkStartMin&lt;=$AE$4)*(BkEndMin&gt;$AE$4)*ROW(BkDate)))</f>
        <v>45</v>
      </c>
      <c r="F4" s="96" t="n">
        <f aca="false">SUMPRODUCT(MAX((BkRoom=SelRoom)*(BkDate=F$2)*(BkStartMin&lt;=$AE$4)*(BkEndMin&gt;$AE$4)*ROW(BkDate)))</f>
        <v>0</v>
      </c>
      <c r="G4" s="96" t="n">
        <f aca="false">SUMPRODUCT(MAX((BkRoom=SelRoom)*(BkDate=G$2)*(BkStartMin&lt;=$AE$4)*(BkEndMin&gt;$AE$4)*ROW(BkDate)))</f>
        <v>0</v>
      </c>
      <c r="H4" s="96" t="n">
        <f aca="false">SUMPRODUCT(MAX((BkRoom=SelRoom)*(BkDate=H$2)*(BkStartMin&lt;=$AE$4)*(BkEndMin&gt;$AE$4)*ROW(BkDate)))</f>
        <v>81</v>
      </c>
      <c r="I4" s="96" t="n">
        <f aca="false">SUMPRODUCT(MAX((BkRoom=SelRoom)*(BkDate=I$2)*(BkStartMin&lt;=$AE$4)*(BkEndMin&gt;$AE$4)*ROW(BkDate)))</f>
        <v>94</v>
      </c>
      <c r="J4" s="96" t="n">
        <f aca="false">SUMPRODUCT(MAX((BkRoom=SelRoom)*(BkDate=J$2)*(BkStartMin&lt;=$AE$4)*(BkEndMin&gt;$AE$4)*ROW(BkDate)))</f>
        <v>0</v>
      </c>
      <c r="K4" s="96" t="n">
        <f aca="false">SUMPRODUCT(MAX((BkRoom=SelRoom)*(BkDate=K$2)*(BkStartMin&lt;=$AE$4)*(BkEndMin&gt;$AE$4)*ROW(BkDate)))</f>
        <v>0</v>
      </c>
      <c r="M4" s="96" t="n">
        <f aca="false">SUMPRODUCT(MAX((BkRoom=M$2)*(BkDate=SelDate)*(BkStartMin&lt;=$AE$4)*(BkEndMin&gt;$AE$4)*(M$2&lt;&gt;"")*ROW(BkDate)))</f>
        <v>0</v>
      </c>
      <c r="N4" s="96" t="n">
        <f aca="false">SUMPRODUCT(MAX((BkRoom=N$2)*(BkDate=SelDate)*(BkStartMin&lt;=$AE$4)*(BkEndMin&gt;$AE$4)*(N$2&lt;&gt;"")*ROW(BkDate)))</f>
        <v>0</v>
      </c>
      <c r="O4" s="96" t="n">
        <f aca="false">SUMPRODUCT(MAX((BkRoom=O$2)*(BkDate=SelDate)*(BkStartMin&lt;=$AE$4)*(BkEndMin&gt;$AE$4)*(O$2&lt;&gt;"")*ROW(BkDate)))</f>
        <v>0</v>
      </c>
      <c r="P4" s="96" t="n">
        <f aca="false">SUMPRODUCT(MAX((BkRoom=P$2)*(BkDate=SelDate)*(BkStartMin&lt;=$AE$4)*(BkEndMin&gt;$AE$4)*(P$2&lt;&gt;"")*ROW(BkDate)))</f>
        <v>0</v>
      </c>
      <c r="Q4" s="96" t="n">
        <f aca="false">SUMPRODUCT(MAX((BkRoom=Q$2)*(BkDate=SelDate)*(BkStartMin&lt;=$AE$4)*(BkEndMin&gt;$AE$4)*(Q$2&lt;&gt;"")*ROW(BkDate)))</f>
        <v>9</v>
      </c>
      <c r="R4" s="96" t="n">
        <f aca="false">SUMPRODUCT(MAX((BkRoom=R$2)*(BkDate=SelDate)*(BkStartMin&lt;=$AE$4)*(BkEndMin&gt;$AE$4)*(R$2&lt;&gt;"")*ROW(BkDate)))</f>
        <v>10</v>
      </c>
      <c r="S4" s="96" t="n">
        <f aca="false">SUMPRODUCT(MAX((BkRoom=S$2)*(BkDate=SelDate)*(BkStartMin&lt;=$AE$4)*(BkEndMin&gt;$AE$4)*(S$2&lt;&gt;"")*ROW(BkDate)))</f>
        <v>0</v>
      </c>
      <c r="T4" s="96" t="n">
        <f aca="false">SUMPRODUCT(MAX((BkRoom=T$2)*(BkDate=SelDate)*(BkStartMin&lt;=$AE$4)*(BkEndMin&gt;$AE$4)*(T$2&lt;&gt;"")*ROW(BkDate)))</f>
        <v>0</v>
      </c>
      <c r="U4" s="96" t="n">
        <f aca="false">SUMPRODUCT(MAX((BkRoom=U$2)*(BkDate=SelDate)*(BkStartMin&lt;=$AE$4)*(BkEndMin&gt;$AE$4)*(U$2&lt;&gt;"")*ROW(BkDate)))</f>
        <v>0</v>
      </c>
      <c r="V4" s="96" t="n">
        <f aca="false">SUMPRODUCT(MAX((BkRoom=V$2)*(BkDate=SelDate)*(BkStartMin&lt;=$AE$4)*(BkEndMin&gt;$AE$4)*(V$2&lt;&gt;"")*ROW(BkDate)))</f>
        <v>0</v>
      </c>
      <c r="W4" s="96" t="n">
        <f aca="false">SUMPRODUCT(MAX((BkRoom=W$2)*(BkDate=SelDate)*(BkStartMin&lt;=$AE$4)*(BkEndMin&gt;$AE$4)*(W$2&lt;&gt;"")*ROW(BkDate)))</f>
        <v>0</v>
      </c>
      <c r="X4" s="96" t="n">
        <f aca="false">SUMPRODUCT(MAX((BkRoom=X$2)*(BkDate=SelDate)*(BkStartMin&lt;=$AE$4)*(BkEndMin&gt;$AE$4)*(X$2&lt;&gt;"")*ROW(BkDate)))</f>
        <v>0</v>
      </c>
      <c r="AE4" s="98" t="n">
        <f aca="false">AE3+30</f>
        <v>570</v>
      </c>
    </row>
    <row r="5" customFormat="false" ht="15" hidden="false" customHeight="false" outlineLevel="0" collapsed="false">
      <c r="A5" s="97" t="n">
        <f aca="false">$AE5/1440</f>
        <v>0.416666666666667</v>
      </c>
      <c r="B5" s="96" t="n">
        <f aca="false">SUMPRODUCT(MAX((BkRoom=SelRoom)*(BkDate=B$2)*(BkStartMin&lt;=$AE$5)*(BkEndMin&gt;$AE$5)*ROW(BkDate)))</f>
        <v>0</v>
      </c>
      <c r="C5" s="96" t="n">
        <f aca="false">SUMPRODUCT(MAX((BkRoom=SelRoom)*(BkDate=C$2)*(BkStartMin&lt;=$AE$5)*(BkEndMin&gt;$AE$5)*ROW(BkDate)))</f>
        <v>22</v>
      </c>
      <c r="D5" s="96" t="n">
        <f aca="false">SUMPRODUCT(MAX((BkRoom=SelRoom)*(BkDate=D$2)*(BkStartMin&lt;=$AE$5)*(BkEndMin&gt;$AE$5)*ROW(BkDate)))</f>
        <v>0</v>
      </c>
      <c r="E5" s="96" t="n">
        <f aca="false">SUMPRODUCT(MAX((BkRoom=SelRoom)*(BkDate=E$2)*(BkStartMin&lt;=$AE$5)*(BkEndMin&gt;$AE$5)*ROW(BkDate)))</f>
        <v>0</v>
      </c>
      <c r="F5" s="96" t="n">
        <f aca="false">SUMPRODUCT(MAX((BkRoom=SelRoom)*(BkDate=F$2)*(BkStartMin&lt;=$AE$5)*(BkEndMin&gt;$AE$5)*ROW(BkDate)))</f>
        <v>0</v>
      </c>
      <c r="G5" s="96" t="n">
        <f aca="false">SUMPRODUCT(MAX((BkRoom=SelRoom)*(BkDate=G$2)*(BkStartMin&lt;=$AE$5)*(BkEndMin&gt;$AE$5)*ROW(BkDate)))</f>
        <v>0</v>
      </c>
      <c r="H5" s="96" t="n">
        <f aca="false">SUMPRODUCT(MAX((BkRoom=SelRoom)*(BkDate=H$2)*(BkStartMin&lt;=$AE$5)*(BkEndMin&gt;$AE$5)*ROW(BkDate)))</f>
        <v>82</v>
      </c>
      <c r="I5" s="96" t="n">
        <f aca="false">SUMPRODUCT(MAX((BkRoom=SelRoom)*(BkDate=I$2)*(BkStartMin&lt;=$AE$5)*(BkEndMin&gt;$AE$5)*ROW(BkDate)))</f>
        <v>94</v>
      </c>
      <c r="J5" s="96" t="n">
        <f aca="false">SUMPRODUCT(MAX((BkRoom=SelRoom)*(BkDate=J$2)*(BkStartMin&lt;=$AE$5)*(BkEndMin&gt;$AE$5)*ROW(BkDate)))</f>
        <v>107</v>
      </c>
      <c r="K5" s="96" t="n">
        <f aca="false">SUMPRODUCT(MAX((BkRoom=SelRoom)*(BkDate=K$2)*(BkStartMin&lt;=$AE$5)*(BkEndMin&gt;$AE$5)*ROW(BkDate)))</f>
        <v>0</v>
      </c>
      <c r="M5" s="96" t="n">
        <f aca="false">SUMPRODUCT(MAX((BkRoom=M$2)*(BkDate=SelDate)*(BkStartMin&lt;=$AE$5)*(BkEndMin&gt;$AE$5)*(M$2&lt;&gt;"")*ROW(BkDate)))</f>
        <v>0</v>
      </c>
      <c r="N5" s="96" t="n">
        <f aca="false">SUMPRODUCT(MAX((BkRoom=N$2)*(BkDate=SelDate)*(BkStartMin&lt;=$AE$5)*(BkEndMin&gt;$AE$5)*(N$2&lt;&gt;"")*ROW(BkDate)))</f>
        <v>0</v>
      </c>
      <c r="O5" s="96" t="n">
        <f aca="false">SUMPRODUCT(MAX((BkRoom=O$2)*(BkDate=SelDate)*(BkStartMin&lt;=$AE$5)*(BkEndMin&gt;$AE$5)*(O$2&lt;&gt;"")*ROW(BkDate)))</f>
        <v>0</v>
      </c>
      <c r="P5" s="96" t="n">
        <f aca="false">SUMPRODUCT(MAX((BkRoom=P$2)*(BkDate=SelDate)*(BkStartMin&lt;=$AE$5)*(BkEndMin&gt;$AE$5)*(P$2&lt;&gt;"")*ROW(BkDate)))</f>
        <v>0</v>
      </c>
      <c r="Q5" s="96" t="n">
        <f aca="false">SUMPRODUCT(MAX((BkRoom=Q$2)*(BkDate=SelDate)*(BkStartMin&lt;=$AE$5)*(BkEndMin&gt;$AE$5)*(Q$2&lt;&gt;"")*ROW(BkDate)))</f>
        <v>0</v>
      </c>
      <c r="R5" s="96" t="n">
        <f aca="false">SUMPRODUCT(MAX((BkRoom=R$2)*(BkDate=SelDate)*(BkStartMin&lt;=$AE$5)*(BkEndMin&gt;$AE$5)*(R$2&lt;&gt;"")*ROW(BkDate)))</f>
        <v>11</v>
      </c>
      <c r="S5" s="96" t="n">
        <f aca="false">SUMPRODUCT(MAX((BkRoom=S$2)*(BkDate=SelDate)*(BkStartMin&lt;=$AE$5)*(BkEndMin&gt;$AE$5)*(S$2&lt;&gt;"")*ROW(BkDate)))</f>
        <v>0</v>
      </c>
      <c r="T5" s="96" t="n">
        <f aca="false">SUMPRODUCT(MAX((BkRoom=T$2)*(BkDate=SelDate)*(BkStartMin&lt;=$AE$5)*(BkEndMin&gt;$AE$5)*(T$2&lt;&gt;"")*ROW(BkDate)))</f>
        <v>0</v>
      </c>
      <c r="U5" s="96" t="n">
        <f aca="false">SUMPRODUCT(MAX((BkRoom=U$2)*(BkDate=SelDate)*(BkStartMin&lt;=$AE$5)*(BkEndMin&gt;$AE$5)*(U$2&lt;&gt;"")*ROW(BkDate)))</f>
        <v>0</v>
      </c>
      <c r="V5" s="96" t="n">
        <f aca="false">SUMPRODUCT(MAX((BkRoom=V$2)*(BkDate=SelDate)*(BkStartMin&lt;=$AE$5)*(BkEndMin&gt;$AE$5)*(V$2&lt;&gt;"")*ROW(BkDate)))</f>
        <v>0</v>
      </c>
      <c r="W5" s="96" t="n">
        <f aca="false">SUMPRODUCT(MAX((BkRoom=W$2)*(BkDate=SelDate)*(BkStartMin&lt;=$AE$5)*(BkEndMin&gt;$AE$5)*(W$2&lt;&gt;"")*ROW(BkDate)))</f>
        <v>0</v>
      </c>
      <c r="X5" s="96" t="n">
        <f aca="false">SUMPRODUCT(MAX((BkRoom=X$2)*(BkDate=SelDate)*(BkStartMin&lt;=$AE$5)*(BkEndMin&gt;$AE$5)*(X$2&lt;&gt;"")*ROW(BkDate)))</f>
        <v>0</v>
      </c>
      <c r="AE5" s="98" t="n">
        <f aca="false">AE4+30</f>
        <v>600</v>
      </c>
    </row>
    <row r="6" customFormat="false" ht="15" hidden="false" customHeight="false" outlineLevel="0" collapsed="false">
      <c r="A6" s="97" t="n">
        <f aca="false">$AE6/1440</f>
        <v>0.4375</v>
      </c>
      <c r="B6" s="96" t="n">
        <f aca="false">SUMPRODUCT(MAX((BkRoom=SelRoom)*(BkDate=B$2)*(BkStartMin&lt;=$AE$6)*(BkEndMin&gt;$AE$6)*ROW(BkDate)))</f>
        <v>0</v>
      </c>
      <c r="C6" s="96" t="n">
        <f aca="false">SUMPRODUCT(MAX((BkRoom=SelRoom)*(BkDate=C$2)*(BkStartMin&lt;=$AE$6)*(BkEndMin&gt;$AE$6)*ROW(BkDate)))</f>
        <v>22</v>
      </c>
      <c r="D6" s="96" t="n">
        <f aca="false">SUMPRODUCT(MAX((BkRoom=SelRoom)*(BkDate=D$2)*(BkStartMin&lt;=$AE$6)*(BkEndMin&gt;$AE$6)*ROW(BkDate)))</f>
        <v>34</v>
      </c>
      <c r="E6" s="96" t="n">
        <f aca="false">SUMPRODUCT(MAX((BkRoom=SelRoom)*(BkDate=E$2)*(BkStartMin&lt;=$AE$6)*(BkEndMin&gt;$AE$6)*ROW(BkDate)))</f>
        <v>47</v>
      </c>
      <c r="F6" s="96" t="n">
        <f aca="false">SUMPRODUCT(MAX((BkRoom=SelRoom)*(BkDate=F$2)*(BkStartMin&lt;=$AE$6)*(BkEndMin&gt;$AE$6)*ROW(BkDate)))</f>
        <v>0</v>
      </c>
      <c r="G6" s="96" t="n">
        <f aca="false">SUMPRODUCT(MAX((BkRoom=SelRoom)*(BkDate=G$2)*(BkStartMin&lt;=$AE$6)*(BkEndMin&gt;$AE$6)*ROW(BkDate)))</f>
        <v>0</v>
      </c>
      <c r="H6" s="96" t="n">
        <f aca="false">SUMPRODUCT(MAX((BkRoom=SelRoom)*(BkDate=H$2)*(BkStartMin&lt;=$AE$6)*(BkEndMin&gt;$AE$6)*ROW(BkDate)))</f>
        <v>0</v>
      </c>
      <c r="I6" s="96" t="n">
        <f aca="false">SUMPRODUCT(MAX((BkRoom=SelRoom)*(BkDate=I$2)*(BkStartMin&lt;=$AE$6)*(BkEndMin&gt;$AE$6)*ROW(BkDate)))</f>
        <v>0</v>
      </c>
      <c r="J6" s="96" t="n">
        <f aca="false">SUMPRODUCT(MAX((BkRoom=SelRoom)*(BkDate=J$2)*(BkStartMin&lt;=$AE$6)*(BkEndMin&gt;$AE$6)*ROW(BkDate)))</f>
        <v>110</v>
      </c>
      <c r="K6" s="96" t="n">
        <f aca="false">SUMPRODUCT(MAX((BkRoom=SelRoom)*(BkDate=K$2)*(BkStartMin&lt;=$AE$6)*(BkEndMin&gt;$AE$6)*ROW(BkDate)))</f>
        <v>119</v>
      </c>
      <c r="M6" s="96" t="n">
        <f aca="false">SUMPRODUCT(MAX((BkRoom=M$2)*(BkDate=SelDate)*(BkStartMin&lt;=$AE$6)*(BkEndMin&gt;$AE$6)*(M$2&lt;&gt;"")*ROW(BkDate)))</f>
        <v>0</v>
      </c>
      <c r="N6" s="96" t="n">
        <f aca="false">SUMPRODUCT(MAX((BkRoom=N$2)*(BkDate=SelDate)*(BkStartMin&lt;=$AE$6)*(BkEndMin&gt;$AE$6)*(N$2&lt;&gt;"")*ROW(BkDate)))</f>
        <v>12</v>
      </c>
      <c r="O6" s="96" t="n">
        <f aca="false">SUMPRODUCT(MAX((BkRoom=O$2)*(BkDate=SelDate)*(BkStartMin&lt;=$AE$6)*(BkEndMin&gt;$AE$6)*(O$2&lt;&gt;"")*ROW(BkDate)))</f>
        <v>0</v>
      </c>
      <c r="P6" s="96" t="n">
        <f aca="false">SUMPRODUCT(MAX((BkRoom=P$2)*(BkDate=SelDate)*(BkStartMin&lt;=$AE$6)*(BkEndMin&gt;$AE$6)*(P$2&lt;&gt;"")*ROW(BkDate)))</f>
        <v>0</v>
      </c>
      <c r="Q6" s="96" t="n">
        <f aca="false">SUMPRODUCT(MAX((BkRoom=Q$2)*(BkDate=SelDate)*(BkStartMin&lt;=$AE$6)*(BkEndMin&gt;$AE$6)*(Q$2&lt;&gt;"")*ROW(BkDate)))</f>
        <v>13</v>
      </c>
      <c r="R6" s="96" t="n">
        <f aca="false">SUMPRODUCT(MAX((BkRoom=R$2)*(BkDate=SelDate)*(BkStartMin&lt;=$AE$6)*(BkEndMin&gt;$AE$6)*(R$2&lt;&gt;"")*ROW(BkDate)))</f>
        <v>14</v>
      </c>
      <c r="S6" s="96" t="n">
        <f aca="false">SUMPRODUCT(MAX((BkRoom=S$2)*(BkDate=SelDate)*(BkStartMin&lt;=$AE$6)*(BkEndMin&gt;$AE$6)*(S$2&lt;&gt;"")*ROW(BkDate)))</f>
        <v>0</v>
      </c>
      <c r="T6" s="96" t="n">
        <f aca="false">SUMPRODUCT(MAX((BkRoom=T$2)*(BkDate=SelDate)*(BkStartMin&lt;=$AE$6)*(BkEndMin&gt;$AE$6)*(T$2&lt;&gt;"")*ROW(BkDate)))</f>
        <v>0</v>
      </c>
      <c r="U6" s="96" t="n">
        <f aca="false">SUMPRODUCT(MAX((BkRoom=U$2)*(BkDate=SelDate)*(BkStartMin&lt;=$AE$6)*(BkEndMin&gt;$AE$6)*(U$2&lt;&gt;"")*ROW(BkDate)))</f>
        <v>0</v>
      </c>
      <c r="V6" s="96" t="n">
        <f aca="false">SUMPRODUCT(MAX((BkRoom=V$2)*(BkDate=SelDate)*(BkStartMin&lt;=$AE$6)*(BkEndMin&gt;$AE$6)*(V$2&lt;&gt;"")*ROW(BkDate)))</f>
        <v>0</v>
      </c>
      <c r="W6" s="96" t="n">
        <f aca="false">SUMPRODUCT(MAX((BkRoom=W$2)*(BkDate=SelDate)*(BkStartMin&lt;=$AE$6)*(BkEndMin&gt;$AE$6)*(W$2&lt;&gt;"")*ROW(BkDate)))</f>
        <v>0</v>
      </c>
      <c r="X6" s="96" t="n">
        <f aca="false">SUMPRODUCT(MAX((BkRoom=X$2)*(BkDate=SelDate)*(BkStartMin&lt;=$AE$6)*(BkEndMin&gt;$AE$6)*(X$2&lt;&gt;"")*ROW(BkDate)))</f>
        <v>0</v>
      </c>
      <c r="AE6" s="98" t="n">
        <f aca="false">AE5+30</f>
        <v>630</v>
      </c>
    </row>
    <row r="7" customFormat="false" ht="15" hidden="false" customHeight="false" outlineLevel="0" collapsed="false">
      <c r="A7" s="97" t="n">
        <f aca="false">$AE7/1440</f>
        <v>0.458333333333333</v>
      </c>
      <c r="B7" s="96" t="n">
        <f aca="false">SUMPRODUCT(MAX((BkRoom=SelRoom)*(BkDate=B$2)*(BkStartMin&lt;=$AE$7)*(BkEndMin&gt;$AE$7)*ROW(BkDate)))</f>
        <v>0</v>
      </c>
      <c r="C7" s="96" t="n">
        <f aca="false">SUMPRODUCT(MAX((BkRoom=SelRoom)*(BkDate=C$2)*(BkStartMin&lt;=$AE$7)*(BkEndMin&gt;$AE$7)*ROW(BkDate)))</f>
        <v>22</v>
      </c>
      <c r="D7" s="96" t="n">
        <f aca="false">SUMPRODUCT(MAX((BkRoom=SelRoom)*(BkDate=D$2)*(BkStartMin&lt;=$AE$7)*(BkEndMin&gt;$AE$7)*ROW(BkDate)))</f>
        <v>34</v>
      </c>
      <c r="E7" s="96" t="n">
        <f aca="false">SUMPRODUCT(MAX((BkRoom=SelRoom)*(BkDate=E$2)*(BkStartMin&lt;=$AE$7)*(BkEndMin&gt;$AE$7)*ROW(BkDate)))</f>
        <v>0</v>
      </c>
      <c r="F7" s="96" t="n">
        <f aca="false">SUMPRODUCT(MAX((BkRoom=SelRoom)*(BkDate=F$2)*(BkStartMin&lt;=$AE$7)*(BkEndMin&gt;$AE$7)*ROW(BkDate)))</f>
        <v>0</v>
      </c>
      <c r="G7" s="96" t="n">
        <f aca="false">SUMPRODUCT(MAX((BkRoom=SelRoom)*(BkDate=G$2)*(BkStartMin&lt;=$AE$7)*(BkEndMin&gt;$AE$7)*ROW(BkDate)))</f>
        <v>73</v>
      </c>
      <c r="H7" s="96" t="n">
        <f aca="false">SUMPRODUCT(MAX((BkRoom=SelRoom)*(BkDate=H$2)*(BkStartMin&lt;=$AE$7)*(BkEndMin&gt;$AE$7)*ROW(BkDate)))</f>
        <v>0</v>
      </c>
      <c r="I7" s="96" t="n">
        <f aca="false">SUMPRODUCT(MAX((BkRoom=SelRoom)*(BkDate=I$2)*(BkStartMin&lt;=$AE$7)*(BkEndMin&gt;$AE$7)*ROW(BkDate)))</f>
        <v>0</v>
      </c>
      <c r="J7" s="96" t="n">
        <f aca="false">SUMPRODUCT(MAX((BkRoom=SelRoom)*(BkDate=J$2)*(BkStartMin&lt;=$AE$7)*(BkEndMin&gt;$AE$7)*ROW(BkDate)))</f>
        <v>110</v>
      </c>
      <c r="K7" s="96" t="n">
        <f aca="false">SUMPRODUCT(MAX((BkRoom=SelRoom)*(BkDate=K$2)*(BkStartMin&lt;=$AE$7)*(BkEndMin&gt;$AE$7)*ROW(BkDate)))</f>
        <v>119</v>
      </c>
      <c r="M7" s="96" t="n">
        <f aca="false">SUMPRODUCT(MAX((BkRoom=M$2)*(BkDate=SelDate)*(BkStartMin&lt;=$AE$7)*(BkEndMin&gt;$AE$7)*(M$2&lt;&gt;"")*ROW(BkDate)))</f>
        <v>0</v>
      </c>
      <c r="N7" s="96" t="n">
        <f aca="false">SUMPRODUCT(MAX((BkRoom=N$2)*(BkDate=SelDate)*(BkStartMin&lt;=$AE$7)*(BkEndMin&gt;$AE$7)*(N$2&lt;&gt;"")*ROW(BkDate)))</f>
        <v>12</v>
      </c>
      <c r="O7" s="96" t="n">
        <f aca="false">SUMPRODUCT(MAX((BkRoom=O$2)*(BkDate=SelDate)*(BkStartMin&lt;=$AE$7)*(BkEndMin&gt;$AE$7)*(O$2&lt;&gt;"")*ROW(BkDate)))</f>
        <v>0</v>
      </c>
      <c r="P7" s="96" t="n">
        <f aca="false">SUMPRODUCT(MAX((BkRoom=P$2)*(BkDate=SelDate)*(BkStartMin&lt;=$AE$7)*(BkEndMin&gt;$AE$7)*(P$2&lt;&gt;"")*ROW(BkDate)))</f>
        <v>15</v>
      </c>
      <c r="Q7" s="96" t="n">
        <f aca="false">SUMPRODUCT(MAX((BkRoom=Q$2)*(BkDate=SelDate)*(BkStartMin&lt;=$AE$7)*(BkEndMin&gt;$AE$7)*(Q$2&lt;&gt;"")*ROW(BkDate)))</f>
        <v>0</v>
      </c>
      <c r="R7" s="96" t="n">
        <f aca="false">SUMPRODUCT(MAX((BkRoom=R$2)*(BkDate=SelDate)*(BkStartMin&lt;=$AE$7)*(BkEndMin&gt;$AE$7)*(R$2&lt;&gt;"")*ROW(BkDate)))</f>
        <v>0</v>
      </c>
      <c r="S7" s="96" t="n">
        <f aca="false">SUMPRODUCT(MAX((BkRoom=S$2)*(BkDate=SelDate)*(BkStartMin&lt;=$AE$7)*(BkEndMin&gt;$AE$7)*(S$2&lt;&gt;"")*ROW(BkDate)))</f>
        <v>0</v>
      </c>
      <c r="T7" s="96" t="n">
        <f aca="false">SUMPRODUCT(MAX((BkRoom=T$2)*(BkDate=SelDate)*(BkStartMin&lt;=$AE$7)*(BkEndMin&gt;$AE$7)*(T$2&lt;&gt;"")*ROW(BkDate)))</f>
        <v>0</v>
      </c>
      <c r="U7" s="96" t="n">
        <f aca="false">SUMPRODUCT(MAX((BkRoom=U$2)*(BkDate=SelDate)*(BkStartMin&lt;=$AE$7)*(BkEndMin&gt;$AE$7)*(U$2&lt;&gt;"")*ROW(BkDate)))</f>
        <v>0</v>
      </c>
      <c r="V7" s="96" t="n">
        <f aca="false">SUMPRODUCT(MAX((BkRoom=V$2)*(BkDate=SelDate)*(BkStartMin&lt;=$AE$7)*(BkEndMin&gt;$AE$7)*(V$2&lt;&gt;"")*ROW(BkDate)))</f>
        <v>0</v>
      </c>
      <c r="W7" s="96" t="n">
        <f aca="false">SUMPRODUCT(MAX((BkRoom=W$2)*(BkDate=SelDate)*(BkStartMin&lt;=$AE$7)*(BkEndMin&gt;$AE$7)*(W$2&lt;&gt;"")*ROW(BkDate)))</f>
        <v>0</v>
      </c>
      <c r="X7" s="96" t="n">
        <f aca="false">SUMPRODUCT(MAX((BkRoom=X$2)*(BkDate=SelDate)*(BkStartMin&lt;=$AE$7)*(BkEndMin&gt;$AE$7)*(X$2&lt;&gt;"")*ROW(BkDate)))</f>
        <v>0</v>
      </c>
      <c r="AE7" s="98" t="n">
        <f aca="false">AE6+30</f>
        <v>660</v>
      </c>
    </row>
    <row r="8" customFormat="false" ht="15" hidden="false" customHeight="false" outlineLevel="0" collapsed="false">
      <c r="A8" s="97" t="n">
        <f aca="false">$AE8/1440</f>
        <v>0.479166666666667</v>
      </c>
      <c r="B8" s="96" t="n">
        <f aca="false">SUMPRODUCT(MAX((BkRoom=SelRoom)*(BkDate=B$2)*(BkStartMin&lt;=$AE$8)*(BkEndMin&gt;$AE$8)*ROW(BkDate)))</f>
        <v>0</v>
      </c>
      <c r="C8" s="96" t="n">
        <f aca="false">SUMPRODUCT(MAX((BkRoom=SelRoom)*(BkDate=C$2)*(BkStartMin&lt;=$AE$8)*(BkEndMin&gt;$AE$8)*ROW(BkDate)))</f>
        <v>0</v>
      </c>
      <c r="D8" s="96" t="n">
        <f aca="false">SUMPRODUCT(MAX((BkRoom=SelRoom)*(BkDate=D$2)*(BkStartMin&lt;=$AE$8)*(BkEndMin&gt;$AE$8)*ROW(BkDate)))</f>
        <v>34</v>
      </c>
      <c r="E8" s="96" t="n">
        <f aca="false">SUMPRODUCT(MAX((BkRoom=SelRoom)*(BkDate=E$2)*(BkStartMin&lt;=$AE$8)*(BkEndMin&gt;$AE$8)*ROW(BkDate)))</f>
        <v>0</v>
      </c>
      <c r="F8" s="96" t="n">
        <f aca="false">SUMPRODUCT(MAX((BkRoom=SelRoom)*(BkDate=F$2)*(BkStartMin&lt;=$AE$8)*(BkEndMin&gt;$AE$8)*ROW(BkDate)))</f>
        <v>0</v>
      </c>
      <c r="G8" s="96" t="n">
        <f aca="false">SUMPRODUCT(MAX((BkRoom=SelRoom)*(BkDate=G$2)*(BkStartMin&lt;=$AE$8)*(BkEndMin&gt;$AE$8)*ROW(BkDate)))</f>
        <v>73</v>
      </c>
      <c r="H8" s="96" t="n">
        <f aca="false">SUMPRODUCT(MAX((BkRoom=SelRoom)*(BkDate=H$2)*(BkStartMin&lt;=$AE$8)*(BkEndMin&gt;$AE$8)*ROW(BkDate)))</f>
        <v>0</v>
      </c>
      <c r="I8" s="96" t="n">
        <f aca="false">SUMPRODUCT(MAX((BkRoom=SelRoom)*(BkDate=I$2)*(BkStartMin&lt;=$AE$8)*(BkEndMin&gt;$AE$8)*ROW(BkDate)))</f>
        <v>100</v>
      </c>
      <c r="J8" s="96" t="n">
        <f aca="false">SUMPRODUCT(MAX((BkRoom=SelRoom)*(BkDate=J$2)*(BkStartMin&lt;=$AE$8)*(BkEndMin&gt;$AE$8)*ROW(BkDate)))</f>
        <v>0</v>
      </c>
      <c r="K8" s="96" t="n">
        <f aca="false">SUMPRODUCT(MAX((BkRoom=SelRoom)*(BkDate=K$2)*(BkStartMin&lt;=$AE$8)*(BkEndMin&gt;$AE$8)*ROW(BkDate)))</f>
        <v>0</v>
      </c>
      <c r="M8" s="96" t="n">
        <f aca="false">SUMPRODUCT(MAX((BkRoom=M$2)*(BkDate=SelDate)*(BkStartMin&lt;=$AE$8)*(BkEndMin&gt;$AE$8)*(M$2&lt;&gt;"")*ROW(BkDate)))</f>
        <v>0</v>
      </c>
      <c r="N8" s="96" t="n">
        <f aca="false">SUMPRODUCT(MAX((BkRoom=N$2)*(BkDate=SelDate)*(BkStartMin&lt;=$AE$8)*(BkEndMin&gt;$AE$8)*(N$2&lt;&gt;"")*ROW(BkDate)))</f>
        <v>0</v>
      </c>
      <c r="O8" s="96" t="n">
        <f aca="false">SUMPRODUCT(MAX((BkRoom=O$2)*(BkDate=SelDate)*(BkStartMin&lt;=$AE$8)*(BkEndMin&gt;$AE$8)*(O$2&lt;&gt;"")*ROW(BkDate)))</f>
        <v>0</v>
      </c>
      <c r="P8" s="96" t="n">
        <f aca="false">SUMPRODUCT(MAX((BkRoom=P$2)*(BkDate=SelDate)*(BkStartMin&lt;=$AE$8)*(BkEndMin&gt;$AE$8)*(P$2&lt;&gt;"")*ROW(BkDate)))</f>
        <v>15</v>
      </c>
      <c r="Q8" s="96" t="n">
        <f aca="false">SUMPRODUCT(MAX((BkRoom=Q$2)*(BkDate=SelDate)*(BkStartMin&lt;=$AE$8)*(BkEndMin&gt;$AE$8)*(Q$2&lt;&gt;"")*ROW(BkDate)))</f>
        <v>0</v>
      </c>
      <c r="R8" s="96" t="n">
        <f aca="false">SUMPRODUCT(MAX((BkRoom=R$2)*(BkDate=SelDate)*(BkStartMin&lt;=$AE$8)*(BkEndMin&gt;$AE$8)*(R$2&lt;&gt;"")*ROW(BkDate)))</f>
        <v>0</v>
      </c>
      <c r="S8" s="96" t="n">
        <f aca="false">SUMPRODUCT(MAX((BkRoom=S$2)*(BkDate=SelDate)*(BkStartMin&lt;=$AE$8)*(BkEndMin&gt;$AE$8)*(S$2&lt;&gt;"")*ROW(BkDate)))</f>
        <v>0</v>
      </c>
      <c r="T8" s="96" t="n">
        <f aca="false">SUMPRODUCT(MAX((BkRoom=T$2)*(BkDate=SelDate)*(BkStartMin&lt;=$AE$8)*(BkEndMin&gt;$AE$8)*(T$2&lt;&gt;"")*ROW(BkDate)))</f>
        <v>0</v>
      </c>
      <c r="U8" s="96" t="n">
        <f aca="false">SUMPRODUCT(MAX((BkRoom=U$2)*(BkDate=SelDate)*(BkStartMin&lt;=$AE$8)*(BkEndMin&gt;$AE$8)*(U$2&lt;&gt;"")*ROW(BkDate)))</f>
        <v>0</v>
      </c>
      <c r="V8" s="96" t="n">
        <f aca="false">SUMPRODUCT(MAX((BkRoom=V$2)*(BkDate=SelDate)*(BkStartMin&lt;=$AE$8)*(BkEndMin&gt;$AE$8)*(V$2&lt;&gt;"")*ROW(BkDate)))</f>
        <v>0</v>
      </c>
      <c r="W8" s="96" t="n">
        <f aca="false">SUMPRODUCT(MAX((BkRoom=W$2)*(BkDate=SelDate)*(BkStartMin&lt;=$AE$8)*(BkEndMin&gt;$AE$8)*(W$2&lt;&gt;"")*ROW(BkDate)))</f>
        <v>0</v>
      </c>
      <c r="X8" s="96" t="n">
        <f aca="false">SUMPRODUCT(MAX((BkRoom=X$2)*(BkDate=SelDate)*(BkStartMin&lt;=$AE$8)*(BkEndMin&gt;$AE$8)*(X$2&lt;&gt;"")*ROW(BkDate)))</f>
        <v>0</v>
      </c>
      <c r="Y8" s="96" t="s">
        <v>230</v>
      </c>
      <c r="AE8" s="98" t="n">
        <f aca="false">AE7+30</f>
        <v>690</v>
      </c>
    </row>
    <row r="9" customFormat="false" ht="15" hidden="false" customHeight="false" outlineLevel="0" collapsed="false">
      <c r="A9" s="97" t="n">
        <f aca="false">$AE9/1440</f>
        <v>0.5</v>
      </c>
      <c r="B9" s="96" t="n">
        <f aca="false">SUMPRODUCT(MAX((BkRoom=SelRoom)*(BkDate=B$2)*(BkStartMin&lt;=$AE$9)*(BkEndMin&gt;$AE$9)*ROW(BkDate)))</f>
        <v>0</v>
      </c>
      <c r="C9" s="96" t="n">
        <f aca="false">SUMPRODUCT(MAX((BkRoom=SelRoom)*(BkDate=C$2)*(BkStartMin&lt;=$AE$9)*(BkEndMin&gt;$AE$9)*ROW(BkDate)))</f>
        <v>0</v>
      </c>
      <c r="D9" s="96" t="n">
        <f aca="false">SUMPRODUCT(MAX((BkRoom=SelRoom)*(BkDate=D$2)*(BkStartMin&lt;=$AE$9)*(BkEndMin&gt;$AE$9)*ROW(BkDate)))</f>
        <v>0</v>
      </c>
      <c r="E9" s="96" t="n">
        <f aca="false">SUMPRODUCT(MAX((BkRoom=SelRoom)*(BkDate=E$2)*(BkStartMin&lt;=$AE$9)*(BkEndMin&gt;$AE$9)*ROW(BkDate)))</f>
        <v>0</v>
      </c>
      <c r="F9" s="96" t="n">
        <f aca="false">SUMPRODUCT(MAX((BkRoom=SelRoom)*(BkDate=F$2)*(BkStartMin&lt;=$AE$9)*(BkEndMin&gt;$AE$9)*ROW(BkDate)))</f>
        <v>0</v>
      </c>
      <c r="G9" s="96" t="n">
        <f aca="false">SUMPRODUCT(MAX((BkRoom=SelRoom)*(BkDate=G$2)*(BkStartMin&lt;=$AE$9)*(BkEndMin&gt;$AE$9)*ROW(BkDate)))</f>
        <v>0</v>
      </c>
      <c r="H9" s="96" t="n">
        <f aca="false">SUMPRODUCT(MAX((BkRoom=SelRoom)*(BkDate=H$2)*(BkStartMin&lt;=$AE$9)*(BkEndMin&gt;$AE$9)*ROW(BkDate)))</f>
        <v>0</v>
      </c>
      <c r="I9" s="96" t="n">
        <f aca="false">SUMPRODUCT(MAX((BkRoom=SelRoom)*(BkDate=I$2)*(BkStartMin&lt;=$AE$9)*(BkEndMin&gt;$AE$9)*ROW(BkDate)))</f>
        <v>100</v>
      </c>
      <c r="J9" s="96" t="n">
        <f aca="false">SUMPRODUCT(MAX((BkRoom=SelRoom)*(BkDate=J$2)*(BkStartMin&lt;=$AE$9)*(BkEndMin&gt;$AE$9)*ROW(BkDate)))</f>
        <v>0</v>
      </c>
      <c r="K9" s="96" t="n">
        <f aca="false">SUMPRODUCT(MAX((BkRoom=SelRoom)*(BkDate=K$2)*(BkStartMin&lt;=$AE$9)*(BkEndMin&gt;$AE$9)*ROW(BkDate)))</f>
        <v>0</v>
      </c>
      <c r="M9" s="96" t="n">
        <f aca="false">SUMPRODUCT(MAX((BkRoom=M$2)*(BkDate=SelDate)*(BkStartMin&lt;=$AE$9)*(BkEndMin&gt;$AE$9)*(M$2&lt;&gt;"")*ROW(BkDate)))</f>
        <v>0</v>
      </c>
      <c r="N9" s="96" t="n">
        <f aca="false">SUMPRODUCT(MAX((BkRoom=N$2)*(BkDate=SelDate)*(BkStartMin&lt;=$AE$9)*(BkEndMin&gt;$AE$9)*(N$2&lt;&gt;"")*ROW(BkDate)))</f>
        <v>0</v>
      </c>
      <c r="O9" s="96" t="n">
        <f aca="false">SUMPRODUCT(MAX((BkRoom=O$2)*(BkDate=SelDate)*(BkStartMin&lt;=$AE$9)*(BkEndMin&gt;$AE$9)*(O$2&lt;&gt;"")*ROW(BkDate)))</f>
        <v>0</v>
      </c>
      <c r="P9" s="96" t="n">
        <f aca="false">SUMPRODUCT(MAX((BkRoom=P$2)*(BkDate=SelDate)*(BkStartMin&lt;=$AE$9)*(BkEndMin&gt;$AE$9)*(P$2&lt;&gt;"")*ROW(BkDate)))</f>
        <v>0</v>
      </c>
      <c r="Q9" s="96" t="n">
        <f aca="false">SUMPRODUCT(MAX((BkRoom=Q$2)*(BkDate=SelDate)*(BkStartMin&lt;=$AE$9)*(BkEndMin&gt;$AE$9)*(Q$2&lt;&gt;"")*ROW(BkDate)))</f>
        <v>0</v>
      </c>
      <c r="R9" s="96" t="n">
        <f aca="false">SUMPRODUCT(MAX((BkRoom=R$2)*(BkDate=SelDate)*(BkStartMin&lt;=$AE$9)*(BkEndMin&gt;$AE$9)*(R$2&lt;&gt;"")*ROW(BkDate)))</f>
        <v>16</v>
      </c>
      <c r="S9" s="96" t="n">
        <f aca="false">SUMPRODUCT(MAX((BkRoom=S$2)*(BkDate=SelDate)*(BkStartMin&lt;=$AE$9)*(BkEndMin&gt;$AE$9)*(S$2&lt;&gt;"")*ROW(BkDate)))</f>
        <v>0</v>
      </c>
      <c r="T9" s="96" t="n">
        <f aca="false">SUMPRODUCT(MAX((BkRoom=T$2)*(BkDate=SelDate)*(BkStartMin&lt;=$AE$9)*(BkEndMin&gt;$AE$9)*(T$2&lt;&gt;"")*ROW(BkDate)))</f>
        <v>0</v>
      </c>
      <c r="U9" s="96" t="n">
        <f aca="false">SUMPRODUCT(MAX((BkRoom=U$2)*(BkDate=SelDate)*(BkStartMin&lt;=$AE$9)*(BkEndMin&gt;$AE$9)*(U$2&lt;&gt;"")*ROW(BkDate)))</f>
        <v>0</v>
      </c>
      <c r="V9" s="96" t="n">
        <f aca="false">SUMPRODUCT(MAX((BkRoom=V$2)*(BkDate=SelDate)*(BkStartMin&lt;=$AE$9)*(BkEndMin&gt;$AE$9)*(V$2&lt;&gt;"")*ROW(BkDate)))</f>
        <v>0</v>
      </c>
      <c r="W9" s="96" t="n">
        <f aca="false">SUMPRODUCT(MAX((BkRoom=W$2)*(BkDate=SelDate)*(BkStartMin&lt;=$AE$9)*(BkEndMin&gt;$AE$9)*(W$2&lt;&gt;"")*ROW(BkDate)))</f>
        <v>0</v>
      </c>
      <c r="X9" s="96" t="n">
        <f aca="false">SUMPRODUCT(MAX((BkRoom=X$2)*(BkDate=SelDate)*(BkStartMin&lt;=$AE$9)*(BkEndMin&gt;$AE$9)*(X$2&lt;&gt;"")*ROW(BkDate)))</f>
        <v>0</v>
      </c>
      <c r="Z9" s="98" t="n">
        <f aca="false">IF(Bookings!$C9="","",IFERROR(INDEX(RoomSeats,MATCH(Bookings!$C9,RoomList,0)),""))</f>
        <v>14</v>
      </c>
      <c r="AA9" s="98" t="n">
        <f aca="false">IF(Bookings!$D9="",-1,ROUND(Bookings!$D9*1440,0))</f>
        <v>540</v>
      </c>
      <c r="AB9" s="98" t="n">
        <f aca="false">IF(Bookings!$E9="",-1,ROUND(Bookings!$E9*1440,0))</f>
        <v>600</v>
      </c>
      <c r="AE9" s="98" t="n">
        <f aca="false">AE8+30</f>
        <v>720</v>
      </c>
    </row>
    <row r="10" customFormat="false" ht="15" hidden="false" customHeight="false" outlineLevel="0" collapsed="false">
      <c r="A10" s="97" t="n">
        <f aca="false">$AE10/1440</f>
        <v>0.520833333333333</v>
      </c>
      <c r="B10" s="96" t="n">
        <f aca="false">SUMPRODUCT(MAX((BkRoom=SelRoom)*(BkDate=B$2)*(BkStartMin&lt;=$AE$10)*(BkEndMin&gt;$AE$10)*ROW(BkDate)))</f>
        <v>0</v>
      </c>
      <c r="C10" s="96" t="n">
        <f aca="false">SUMPRODUCT(MAX((BkRoom=SelRoom)*(BkDate=C$2)*(BkStartMin&lt;=$AE$10)*(BkEndMin&gt;$AE$10)*ROW(BkDate)))</f>
        <v>0</v>
      </c>
      <c r="D10" s="96" t="n">
        <f aca="false">SUMPRODUCT(MAX((BkRoom=SelRoom)*(BkDate=D$2)*(BkStartMin&lt;=$AE$10)*(BkEndMin&gt;$AE$10)*ROW(BkDate)))</f>
        <v>0</v>
      </c>
      <c r="E10" s="96" t="n">
        <f aca="false">SUMPRODUCT(MAX((BkRoom=SelRoom)*(BkDate=E$2)*(BkStartMin&lt;=$AE$10)*(BkEndMin&gt;$AE$10)*ROW(BkDate)))</f>
        <v>0</v>
      </c>
      <c r="F10" s="96" t="n">
        <f aca="false">SUMPRODUCT(MAX((BkRoom=SelRoom)*(BkDate=F$2)*(BkStartMin&lt;=$AE$10)*(BkEndMin&gt;$AE$10)*ROW(BkDate)))</f>
        <v>0</v>
      </c>
      <c r="G10" s="96" t="n">
        <f aca="false">SUMPRODUCT(MAX((BkRoom=SelRoom)*(BkDate=G$2)*(BkStartMin&lt;=$AE$10)*(BkEndMin&gt;$AE$10)*ROW(BkDate)))</f>
        <v>0</v>
      </c>
      <c r="H10" s="96" t="n">
        <f aca="false">SUMPRODUCT(MAX((BkRoom=SelRoom)*(BkDate=H$2)*(BkStartMin&lt;=$AE$10)*(BkEndMin&gt;$AE$10)*ROW(BkDate)))</f>
        <v>0</v>
      </c>
      <c r="I10" s="96" t="n">
        <f aca="false">SUMPRODUCT(MAX((BkRoom=SelRoom)*(BkDate=I$2)*(BkStartMin&lt;=$AE$10)*(BkEndMin&gt;$AE$10)*ROW(BkDate)))</f>
        <v>0</v>
      </c>
      <c r="J10" s="96" t="n">
        <f aca="false">SUMPRODUCT(MAX((BkRoom=SelRoom)*(BkDate=J$2)*(BkStartMin&lt;=$AE$10)*(BkEndMin&gt;$AE$10)*ROW(BkDate)))</f>
        <v>0</v>
      </c>
      <c r="K10" s="96" t="n">
        <f aca="false">SUMPRODUCT(MAX((BkRoom=SelRoom)*(BkDate=K$2)*(BkStartMin&lt;=$AE$10)*(BkEndMin&gt;$AE$10)*ROW(BkDate)))</f>
        <v>0</v>
      </c>
      <c r="M10" s="96" t="n">
        <f aca="false">SUMPRODUCT(MAX((BkRoom=M$2)*(BkDate=SelDate)*(BkStartMin&lt;=$AE$10)*(BkEndMin&gt;$AE$10)*(M$2&lt;&gt;"")*ROW(BkDate)))</f>
        <v>0</v>
      </c>
      <c r="N10" s="96" t="n">
        <f aca="false">SUMPRODUCT(MAX((BkRoom=N$2)*(BkDate=SelDate)*(BkStartMin&lt;=$AE$10)*(BkEndMin&gt;$AE$10)*(N$2&lt;&gt;"")*ROW(BkDate)))</f>
        <v>0</v>
      </c>
      <c r="O10" s="96" t="n">
        <f aca="false">SUMPRODUCT(MAX((BkRoom=O$2)*(BkDate=SelDate)*(BkStartMin&lt;=$AE$10)*(BkEndMin&gt;$AE$10)*(O$2&lt;&gt;"")*ROW(BkDate)))</f>
        <v>0</v>
      </c>
      <c r="P10" s="96" t="n">
        <f aca="false">SUMPRODUCT(MAX((BkRoom=P$2)*(BkDate=SelDate)*(BkStartMin&lt;=$AE$10)*(BkEndMin&gt;$AE$10)*(P$2&lt;&gt;"")*ROW(BkDate)))</f>
        <v>0</v>
      </c>
      <c r="Q10" s="96" t="n">
        <f aca="false">SUMPRODUCT(MAX((BkRoom=Q$2)*(BkDate=SelDate)*(BkStartMin&lt;=$AE$10)*(BkEndMin&gt;$AE$10)*(Q$2&lt;&gt;"")*ROW(BkDate)))</f>
        <v>0</v>
      </c>
      <c r="R10" s="96" t="n">
        <f aca="false">SUMPRODUCT(MAX((BkRoom=R$2)*(BkDate=SelDate)*(BkStartMin&lt;=$AE$10)*(BkEndMin&gt;$AE$10)*(R$2&lt;&gt;"")*ROW(BkDate)))</f>
        <v>0</v>
      </c>
      <c r="S10" s="96" t="n">
        <f aca="false">SUMPRODUCT(MAX((BkRoom=S$2)*(BkDate=SelDate)*(BkStartMin&lt;=$AE$10)*(BkEndMin&gt;$AE$10)*(S$2&lt;&gt;"")*ROW(BkDate)))</f>
        <v>0</v>
      </c>
      <c r="T10" s="96" t="n">
        <f aca="false">SUMPRODUCT(MAX((BkRoom=T$2)*(BkDate=SelDate)*(BkStartMin&lt;=$AE$10)*(BkEndMin&gt;$AE$10)*(T$2&lt;&gt;"")*ROW(BkDate)))</f>
        <v>0</v>
      </c>
      <c r="U10" s="96" t="n">
        <f aca="false">SUMPRODUCT(MAX((BkRoom=U$2)*(BkDate=SelDate)*(BkStartMin&lt;=$AE$10)*(BkEndMin&gt;$AE$10)*(U$2&lt;&gt;"")*ROW(BkDate)))</f>
        <v>0</v>
      </c>
      <c r="V10" s="96" t="n">
        <f aca="false">SUMPRODUCT(MAX((BkRoom=V$2)*(BkDate=SelDate)*(BkStartMin&lt;=$AE$10)*(BkEndMin&gt;$AE$10)*(V$2&lt;&gt;"")*ROW(BkDate)))</f>
        <v>0</v>
      </c>
      <c r="W10" s="96" t="n">
        <f aca="false">SUMPRODUCT(MAX((BkRoom=W$2)*(BkDate=SelDate)*(BkStartMin&lt;=$AE$10)*(BkEndMin&gt;$AE$10)*(W$2&lt;&gt;"")*ROW(BkDate)))</f>
        <v>0</v>
      </c>
      <c r="X10" s="96" t="n">
        <f aca="false">SUMPRODUCT(MAX((BkRoom=X$2)*(BkDate=SelDate)*(BkStartMin&lt;=$AE$10)*(BkEndMin&gt;$AE$10)*(X$2&lt;&gt;"")*ROW(BkDate)))</f>
        <v>0</v>
      </c>
      <c r="Z10" s="98" t="n">
        <f aca="false">IF(Bookings!$C10="","",IFERROR(INDEX(RoomSeats,MATCH(Bookings!$C10,RoomList,0)),""))</f>
        <v>2</v>
      </c>
      <c r="AA10" s="98" t="n">
        <f aca="false">IF(Bookings!$D10="",-1,ROUND(Bookings!$D10*1440,0))</f>
        <v>540</v>
      </c>
      <c r="AB10" s="98" t="n">
        <f aca="false">IF(Bookings!$E10="",-1,ROUND(Bookings!$E10*1440,0))</f>
        <v>600</v>
      </c>
      <c r="AE10" s="98" t="n">
        <f aca="false">AE9+30</f>
        <v>750</v>
      </c>
    </row>
    <row r="11" customFormat="false" ht="15" hidden="false" customHeight="false" outlineLevel="0" collapsed="false">
      <c r="A11" s="97" t="n">
        <f aca="false">$AE11/1440</f>
        <v>0.541666666666667</v>
      </c>
      <c r="B11" s="96" t="n">
        <f aca="false">SUMPRODUCT(MAX((BkRoom=SelRoom)*(BkDate=B$2)*(BkStartMin&lt;=$AE$11)*(BkEndMin&gt;$AE$11)*ROW(BkDate)))</f>
        <v>0</v>
      </c>
      <c r="C11" s="96" t="n">
        <f aca="false">SUMPRODUCT(MAX((BkRoom=SelRoom)*(BkDate=C$2)*(BkStartMin&lt;=$AE$11)*(BkEndMin&gt;$AE$11)*ROW(BkDate)))</f>
        <v>0</v>
      </c>
      <c r="D11" s="96" t="n">
        <f aca="false">SUMPRODUCT(MAX((BkRoom=SelRoom)*(BkDate=D$2)*(BkStartMin&lt;=$AE$11)*(BkEndMin&gt;$AE$11)*ROW(BkDate)))</f>
        <v>0</v>
      </c>
      <c r="E11" s="96" t="n">
        <f aca="false">SUMPRODUCT(MAX((BkRoom=SelRoom)*(BkDate=E$2)*(BkStartMin&lt;=$AE$11)*(BkEndMin&gt;$AE$11)*ROW(BkDate)))</f>
        <v>51</v>
      </c>
      <c r="F11" s="96" t="n">
        <f aca="false">SUMPRODUCT(MAX((BkRoom=SelRoom)*(BkDate=F$2)*(BkStartMin&lt;=$AE$11)*(BkEndMin&gt;$AE$11)*ROW(BkDate)))</f>
        <v>0</v>
      </c>
      <c r="G11" s="96" t="n">
        <f aca="false">SUMPRODUCT(MAX((BkRoom=SelRoom)*(BkDate=G$2)*(BkStartMin&lt;=$AE$11)*(BkEndMin&gt;$AE$11)*ROW(BkDate)))</f>
        <v>0</v>
      </c>
      <c r="H11" s="96" t="n">
        <f aca="false">SUMPRODUCT(MAX((BkRoom=SelRoom)*(BkDate=H$2)*(BkStartMin&lt;=$AE$11)*(BkEndMin&gt;$AE$11)*ROW(BkDate)))</f>
        <v>0</v>
      </c>
      <c r="I11" s="96" t="n">
        <f aca="false">SUMPRODUCT(MAX((BkRoom=SelRoom)*(BkDate=I$2)*(BkStartMin&lt;=$AE$11)*(BkEndMin&gt;$AE$11)*ROW(BkDate)))</f>
        <v>0</v>
      </c>
      <c r="J11" s="96" t="n">
        <f aca="false">SUMPRODUCT(MAX((BkRoom=SelRoom)*(BkDate=J$2)*(BkStartMin&lt;=$AE$11)*(BkEndMin&gt;$AE$11)*ROW(BkDate)))</f>
        <v>0</v>
      </c>
      <c r="K11" s="96" t="n">
        <f aca="false">SUMPRODUCT(MAX((BkRoom=SelRoom)*(BkDate=K$2)*(BkStartMin&lt;=$AE$11)*(BkEndMin&gt;$AE$11)*ROW(BkDate)))</f>
        <v>123</v>
      </c>
      <c r="M11" s="96" t="n">
        <f aca="false">SUMPRODUCT(MAX((BkRoom=M$2)*(BkDate=SelDate)*(BkStartMin&lt;=$AE$11)*(BkEndMin&gt;$AE$11)*(M$2&lt;&gt;"")*ROW(BkDate)))</f>
        <v>0</v>
      </c>
      <c r="N11" s="96" t="n">
        <f aca="false">SUMPRODUCT(MAX((BkRoom=N$2)*(BkDate=SelDate)*(BkStartMin&lt;=$AE$11)*(BkEndMin&gt;$AE$11)*(N$2&lt;&gt;"")*ROW(BkDate)))</f>
        <v>0</v>
      </c>
      <c r="O11" s="96" t="n">
        <f aca="false">SUMPRODUCT(MAX((BkRoom=O$2)*(BkDate=SelDate)*(BkStartMin&lt;=$AE$11)*(BkEndMin&gt;$AE$11)*(O$2&lt;&gt;"")*ROW(BkDate)))</f>
        <v>0</v>
      </c>
      <c r="P11" s="96" t="n">
        <f aca="false">SUMPRODUCT(MAX((BkRoom=P$2)*(BkDate=SelDate)*(BkStartMin&lt;=$AE$11)*(BkEndMin&gt;$AE$11)*(P$2&lt;&gt;"")*ROW(BkDate)))</f>
        <v>0</v>
      </c>
      <c r="Q11" s="96" t="n">
        <f aca="false">SUMPRODUCT(MAX((BkRoom=Q$2)*(BkDate=SelDate)*(BkStartMin&lt;=$AE$11)*(BkEndMin&gt;$AE$11)*(Q$2&lt;&gt;"")*ROW(BkDate)))</f>
        <v>0</v>
      </c>
      <c r="R11" s="96" t="n">
        <f aca="false">SUMPRODUCT(MAX((BkRoom=R$2)*(BkDate=SelDate)*(BkStartMin&lt;=$AE$11)*(BkEndMin&gt;$AE$11)*(R$2&lt;&gt;"")*ROW(BkDate)))</f>
        <v>0</v>
      </c>
      <c r="S11" s="96" t="n">
        <f aca="false">SUMPRODUCT(MAX((BkRoom=S$2)*(BkDate=SelDate)*(BkStartMin&lt;=$AE$11)*(BkEndMin&gt;$AE$11)*(S$2&lt;&gt;"")*ROW(BkDate)))</f>
        <v>0</v>
      </c>
      <c r="T11" s="96" t="n">
        <f aca="false">SUMPRODUCT(MAX((BkRoom=T$2)*(BkDate=SelDate)*(BkStartMin&lt;=$AE$11)*(BkEndMin&gt;$AE$11)*(T$2&lt;&gt;"")*ROW(BkDate)))</f>
        <v>0</v>
      </c>
      <c r="U11" s="96" t="n">
        <f aca="false">SUMPRODUCT(MAX((BkRoom=U$2)*(BkDate=SelDate)*(BkStartMin&lt;=$AE$11)*(BkEndMin&gt;$AE$11)*(U$2&lt;&gt;"")*ROW(BkDate)))</f>
        <v>0</v>
      </c>
      <c r="V11" s="96" t="n">
        <f aca="false">SUMPRODUCT(MAX((BkRoom=V$2)*(BkDate=SelDate)*(BkStartMin&lt;=$AE$11)*(BkEndMin&gt;$AE$11)*(V$2&lt;&gt;"")*ROW(BkDate)))</f>
        <v>0</v>
      </c>
      <c r="W11" s="96" t="n">
        <f aca="false">SUMPRODUCT(MAX((BkRoom=W$2)*(BkDate=SelDate)*(BkStartMin&lt;=$AE$11)*(BkEndMin&gt;$AE$11)*(W$2&lt;&gt;"")*ROW(BkDate)))</f>
        <v>0</v>
      </c>
      <c r="X11" s="96" t="n">
        <f aca="false">SUMPRODUCT(MAX((BkRoom=X$2)*(BkDate=SelDate)*(BkStartMin&lt;=$AE$11)*(BkEndMin&gt;$AE$11)*(X$2&lt;&gt;"")*ROW(BkDate)))</f>
        <v>0</v>
      </c>
      <c r="Z11" s="98" t="n">
        <f aca="false">IF(Bookings!$C11="","",IFERROR(INDEX(RoomSeats,MATCH(Bookings!$C11,RoomList,0)),""))</f>
        <v>2</v>
      </c>
      <c r="AA11" s="98" t="n">
        <f aca="false">IF(Bookings!$D11="",-1,ROUND(Bookings!$D11*1440,0))</f>
        <v>600</v>
      </c>
      <c r="AB11" s="98" t="n">
        <f aca="false">IF(Bookings!$E11="",-1,ROUND(Bookings!$E11*1440,0))</f>
        <v>630</v>
      </c>
      <c r="AE11" s="98" t="n">
        <f aca="false">AE10+30</f>
        <v>780</v>
      </c>
    </row>
    <row r="12" customFormat="false" ht="15" hidden="false" customHeight="false" outlineLevel="0" collapsed="false">
      <c r="A12" s="97" t="n">
        <f aca="false">$AE12/1440</f>
        <v>0.5625</v>
      </c>
      <c r="B12" s="96" t="n">
        <f aca="false">SUMPRODUCT(MAX((BkRoom=SelRoom)*(BkDate=B$2)*(BkStartMin&lt;=$AE$12)*(BkEndMin&gt;$AE$12)*ROW(BkDate)))</f>
        <v>0</v>
      </c>
      <c r="C12" s="96" t="n">
        <f aca="false">SUMPRODUCT(MAX((BkRoom=SelRoom)*(BkDate=C$2)*(BkStartMin&lt;=$AE$12)*(BkEndMin&gt;$AE$12)*ROW(BkDate)))</f>
        <v>0</v>
      </c>
      <c r="D12" s="96" t="n">
        <f aca="false">SUMPRODUCT(MAX((BkRoom=SelRoom)*(BkDate=D$2)*(BkStartMin&lt;=$AE$12)*(BkEndMin&gt;$AE$12)*ROW(BkDate)))</f>
        <v>0</v>
      </c>
      <c r="E12" s="96" t="n">
        <f aca="false">SUMPRODUCT(MAX((BkRoom=SelRoom)*(BkDate=E$2)*(BkStartMin&lt;=$AE$12)*(BkEndMin&gt;$AE$12)*ROW(BkDate)))</f>
        <v>51</v>
      </c>
      <c r="F12" s="96" t="n">
        <f aca="false">SUMPRODUCT(MAX((BkRoom=SelRoom)*(BkDate=F$2)*(BkStartMin&lt;=$AE$12)*(BkEndMin&gt;$AE$12)*ROW(BkDate)))</f>
        <v>0</v>
      </c>
      <c r="G12" s="96" t="n">
        <f aca="false">SUMPRODUCT(MAX((BkRoom=SelRoom)*(BkDate=G$2)*(BkStartMin&lt;=$AE$12)*(BkEndMin&gt;$AE$12)*ROW(BkDate)))</f>
        <v>0</v>
      </c>
      <c r="H12" s="96" t="n">
        <f aca="false">SUMPRODUCT(MAX((BkRoom=SelRoom)*(BkDate=H$2)*(BkStartMin&lt;=$AE$12)*(BkEndMin&gt;$AE$12)*ROW(BkDate)))</f>
        <v>0</v>
      </c>
      <c r="I12" s="96" t="n">
        <f aca="false">SUMPRODUCT(MAX((BkRoom=SelRoom)*(BkDate=I$2)*(BkStartMin&lt;=$AE$12)*(BkEndMin&gt;$AE$12)*ROW(BkDate)))</f>
        <v>0</v>
      </c>
      <c r="J12" s="96" t="n">
        <f aca="false">SUMPRODUCT(MAX((BkRoom=SelRoom)*(BkDate=J$2)*(BkStartMin&lt;=$AE$12)*(BkEndMin&gt;$AE$12)*ROW(BkDate)))</f>
        <v>0</v>
      </c>
      <c r="K12" s="96" t="n">
        <f aca="false">SUMPRODUCT(MAX((BkRoom=SelRoom)*(BkDate=K$2)*(BkStartMin&lt;=$AE$12)*(BkEndMin&gt;$AE$12)*ROW(BkDate)))</f>
        <v>0</v>
      </c>
      <c r="M12" s="96" t="n">
        <f aca="false">SUMPRODUCT(MAX((BkRoom=M$2)*(BkDate=SelDate)*(BkStartMin&lt;=$AE$12)*(BkEndMin&gt;$AE$12)*(M$2&lt;&gt;"")*ROW(BkDate)))</f>
        <v>0</v>
      </c>
      <c r="N12" s="96" t="n">
        <f aca="false">SUMPRODUCT(MAX((BkRoom=N$2)*(BkDate=SelDate)*(BkStartMin&lt;=$AE$12)*(BkEndMin&gt;$AE$12)*(N$2&lt;&gt;"")*ROW(BkDate)))</f>
        <v>0</v>
      </c>
      <c r="O12" s="96" t="n">
        <f aca="false">SUMPRODUCT(MAX((BkRoom=O$2)*(BkDate=SelDate)*(BkStartMin&lt;=$AE$12)*(BkEndMin&gt;$AE$12)*(O$2&lt;&gt;"")*ROW(BkDate)))</f>
        <v>0</v>
      </c>
      <c r="P12" s="96" t="n">
        <f aca="false">SUMPRODUCT(MAX((BkRoom=P$2)*(BkDate=SelDate)*(BkStartMin&lt;=$AE$12)*(BkEndMin&gt;$AE$12)*(P$2&lt;&gt;"")*ROW(BkDate)))</f>
        <v>0</v>
      </c>
      <c r="Q12" s="96" t="n">
        <f aca="false">SUMPRODUCT(MAX((BkRoom=Q$2)*(BkDate=SelDate)*(BkStartMin&lt;=$AE$12)*(BkEndMin&gt;$AE$12)*(Q$2&lt;&gt;"")*ROW(BkDate)))</f>
        <v>0</v>
      </c>
      <c r="R12" s="96" t="n">
        <f aca="false">SUMPRODUCT(MAX((BkRoom=R$2)*(BkDate=SelDate)*(BkStartMin&lt;=$AE$12)*(BkEndMin&gt;$AE$12)*(R$2&lt;&gt;"")*ROW(BkDate)))</f>
        <v>0</v>
      </c>
      <c r="S12" s="96" t="n">
        <f aca="false">SUMPRODUCT(MAX((BkRoom=S$2)*(BkDate=SelDate)*(BkStartMin&lt;=$AE$12)*(BkEndMin&gt;$AE$12)*(S$2&lt;&gt;"")*ROW(BkDate)))</f>
        <v>0</v>
      </c>
      <c r="T12" s="96" t="n">
        <f aca="false">SUMPRODUCT(MAX((BkRoom=T$2)*(BkDate=SelDate)*(BkStartMin&lt;=$AE$12)*(BkEndMin&gt;$AE$12)*(T$2&lt;&gt;"")*ROW(BkDate)))</f>
        <v>0</v>
      </c>
      <c r="U12" s="96" t="n">
        <f aca="false">SUMPRODUCT(MAX((BkRoom=U$2)*(BkDate=SelDate)*(BkStartMin&lt;=$AE$12)*(BkEndMin&gt;$AE$12)*(U$2&lt;&gt;"")*ROW(BkDate)))</f>
        <v>0</v>
      </c>
      <c r="V12" s="96" t="n">
        <f aca="false">SUMPRODUCT(MAX((BkRoom=V$2)*(BkDate=SelDate)*(BkStartMin&lt;=$AE$12)*(BkEndMin&gt;$AE$12)*(V$2&lt;&gt;"")*ROW(BkDate)))</f>
        <v>0</v>
      </c>
      <c r="W12" s="96" t="n">
        <f aca="false">SUMPRODUCT(MAX((BkRoom=W$2)*(BkDate=SelDate)*(BkStartMin&lt;=$AE$12)*(BkEndMin&gt;$AE$12)*(W$2&lt;&gt;"")*ROW(BkDate)))</f>
        <v>0</v>
      </c>
      <c r="X12" s="96" t="n">
        <f aca="false">SUMPRODUCT(MAX((BkRoom=X$2)*(BkDate=SelDate)*(BkStartMin&lt;=$AE$12)*(BkEndMin&gt;$AE$12)*(X$2&lt;&gt;"")*ROW(BkDate)))</f>
        <v>0</v>
      </c>
      <c r="Z12" s="98" t="n">
        <f aca="false">IF(Bookings!$C12="","",IFERROR(INDEX(RoomSeats,MATCH(Bookings!$C12,RoomList,0)),""))</f>
        <v>8</v>
      </c>
      <c r="AA12" s="98" t="n">
        <f aca="false">IF(Bookings!$D12="",-1,ROUND(Bookings!$D12*1440,0))</f>
        <v>630</v>
      </c>
      <c r="AB12" s="98" t="n">
        <f aca="false">IF(Bookings!$E12="",-1,ROUND(Bookings!$E12*1440,0))</f>
        <v>690</v>
      </c>
      <c r="AE12" s="98" t="n">
        <f aca="false">AE11+30</f>
        <v>810</v>
      </c>
    </row>
    <row r="13" customFormat="false" ht="15" hidden="false" customHeight="false" outlineLevel="0" collapsed="false">
      <c r="A13" s="97" t="n">
        <f aca="false">$AE13/1440</f>
        <v>0.583333333333333</v>
      </c>
      <c r="B13" s="96" t="n">
        <f aca="false">SUMPRODUCT(MAX((BkRoom=SelRoom)*(BkDate=B$2)*(BkStartMin&lt;=$AE$13)*(BkEndMin&gt;$AE$13)*ROW(BkDate)))</f>
        <v>0</v>
      </c>
      <c r="C13" s="96" t="n">
        <f aca="false">SUMPRODUCT(MAX((BkRoom=SelRoom)*(BkDate=C$2)*(BkStartMin&lt;=$AE$13)*(BkEndMin&gt;$AE$13)*ROW(BkDate)))</f>
        <v>0</v>
      </c>
      <c r="D13" s="96" t="n">
        <f aca="false">SUMPRODUCT(MAX((BkRoom=SelRoom)*(BkDate=D$2)*(BkStartMin&lt;=$AE$13)*(BkEndMin&gt;$AE$13)*ROW(BkDate)))</f>
        <v>0</v>
      </c>
      <c r="E13" s="96" t="n">
        <f aca="false">SUMPRODUCT(MAX((BkRoom=SelRoom)*(BkDate=E$2)*(BkStartMin&lt;=$AE$13)*(BkEndMin&gt;$AE$13)*ROW(BkDate)))</f>
        <v>52</v>
      </c>
      <c r="F13" s="96" t="n">
        <f aca="false">SUMPRODUCT(MAX((BkRoom=SelRoom)*(BkDate=F$2)*(BkStartMin&lt;=$AE$13)*(BkEndMin&gt;$AE$13)*ROW(BkDate)))</f>
        <v>65</v>
      </c>
      <c r="G13" s="96" t="n">
        <f aca="false">SUMPRODUCT(MAX((BkRoom=SelRoom)*(BkDate=G$2)*(BkStartMin&lt;=$AE$13)*(BkEndMin&gt;$AE$13)*ROW(BkDate)))</f>
        <v>0</v>
      </c>
      <c r="H13" s="96" t="n">
        <f aca="false">SUMPRODUCT(MAX((BkRoom=SelRoom)*(BkDate=H$2)*(BkStartMin&lt;=$AE$13)*(BkEndMin&gt;$AE$13)*ROW(BkDate)))</f>
        <v>0</v>
      </c>
      <c r="I13" s="96" t="n">
        <f aca="false">SUMPRODUCT(MAX((BkRoom=SelRoom)*(BkDate=I$2)*(BkStartMin&lt;=$AE$13)*(BkEndMin&gt;$AE$13)*ROW(BkDate)))</f>
        <v>0</v>
      </c>
      <c r="J13" s="96" t="n">
        <f aca="false">SUMPRODUCT(MAX((BkRoom=SelRoom)*(BkDate=J$2)*(BkStartMin&lt;=$AE$13)*(BkEndMin&gt;$AE$13)*ROW(BkDate)))</f>
        <v>114</v>
      </c>
      <c r="K13" s="96" t="n">
        <f aca="false">SUMPRODUCT(MAX((BkRoom=SelRoom)*(BkDate=K$2)*(BkStartMin&lt;=$AE$13)*(BkEndMin&gt;$AE$13)*ROW(BkDate)))</f>
        <v>0</v>
      </c>
      <c r="M13" s="96" t="n">
        <f aca="false">SUMPRODUCT(MAX((BkRoom=M$2)*(BkDate=SelDate)*(BkStartMin&lt;=$AE$13)*(BkEndMin&gt;$AE$13)*(M$2&lt;&gt;"")*ROW(BkDate)))</f>
        <v>0</v>
      </c>
      <c r="N13" s="96" t="n">
        <f aca="false">SUMPRODUCT(MAX((BkRoom=N$2)*(BkDate=SelDate)*(BkStartMin&lt;=$AE$13)*(BkEndMin&gt;$AE$13)*(N$2&lt;&gt;"")*ROW(BkDate)))</f>
        <v>17</v>
      </c>
      <c r="O13" s="96" t="n">
        <f aca="false">SUMPRODUCT(MAX((BkRoom=O$2)*(BkDate=SelDate)*(BkStartMin&lt;=$AE$13)*(BkEndMin&gt;$AE$13)*(O$2&lt;&gt;"")*ROW(BkDate)))</f>
        <v>0</v>
      </c>
      <c r="P13" s="96" t="n">
        <f aca="false">SUMPRODUCT(MAX((BkRoom=P$2)*(BkDate=SelDate)*(BkStartMin&lt;=$AE$13)*(BkEndMin&gt;$AE$13)*(P$2&lt;&gt;"")*ROW(BkDate)))</f>
        <v>0</v>
      </c>
      <c r="Q13" s="96" t="n">
        <f aca="false">SUMPRODUCT(MAX((BkRoom=Q$2)*(BkDate=SelDate)*(BkStartMin&lt;=$AE$13)*(BkEndMin&gt;$AE$13)*(Q$2&lt;&gt;"")*ROW(BkDate)))</f>
        <v>0</v>
      </c>
      <c r="R13" s="96" t="n">
        <f aca="false">SUMPRODUCT(MAX((BkRoom=R$2)*(BkDate=SelDate)*(BkStartMin&lt;=$AE$13)*(BkEndMin&gt;$AE$13)*(R$2&lt;&gt;"")*ROW(BkDate)))</f>
        <v>18</v>
      </c>
      <c r="S13" s="96" t="n">
        <f aca="false">SUMPRODUCT(MAX((BkRoom=S$2)*(BkDate=SelDate)*(BkStartMin&lt;=$AE$13)*(BkEndMin&gt;$AE$13)*(S$2&lt;&gt;"")*ROW(BkDate)))</f>
        <v>0</v>
      </c>
      <c r="T13" s="96" t="n">
        <f aca="false">SUMPRODUCT(MAX((BkRoom=T$2)*(BkDate=SelDate)*(BkStartMin&lt;=$AE$13)*(BkEndMin&gt;$AE$13)*(T$2&lt;&gt;"")*ROW(BkDate)))</f>
        <v>0</v>
      </c>
      <c r="U13" s="96" t="n">
        <f aca="false">SUMPRODUCT(MAX((BkRoom=U$2)*(BkDate=SelDate)*(BkStartMin&lt;=$AE$13)*(BkEndMin&gt;$AE$13)*(U$2&lt;&gt;"")*ROW(BkDate)))</f>
        <v>0</v>
      </c>
      <c r="V13" s="96" t="n">
        <f aca="false">SUMPRODUCT(MAX((BkRoom=V$2)*(BkDate=SelDate)*(BkStartMin&lt;=$AE$13)*(BkEndMin&gt;$AE$13)*(V$2&lt;&gt;"")*ROW(BkDate)))</f>
        <v>0</v>
      </c>
      <c r="W13" s="96" t="n">
        <f aca="false">SUMPRODUCT(MAX((BkRoom=W$2)*(BkDate=SelDate)*(BkStartMin&lt;=$AE$13)*(BkEndMin&gt;$AE$13)*(W$2&lt;&gt;"")*ROW(BkDate)))</f>
        <v>0</v>
      </c>
      <c r="X13" s="96" t="n">
        <f aca="false">SUMPRODUCT(MAX((BkRoom=X$2)*(BkDate=SelDate)*(BkStartMin&lt;=$AE$13)*(BkEndMin&gt;$AE$13)*(X$2&lt;&gt;"")*ROW(BkDate)))</f>
        <v>0</v>
      </c>
      <c r="Z13" s="98" t="n">
        <f aca="false">IF(Bookings!$C13="","",IFERROR(INDEX(RoomSeats,MATCH(Bookings!$C13,RoomList,0)),""))</f>
        <v>14</v>
      </c>
      <c r="AA13" s="98" t="n">
        <f aca="false">IF(Bookings!$D13="",-1,ROUND(Bookings!$D13*1440,0))</f>
        <v>630</v>
      </c>
      <c r="AB13" s="98" t="n">
        <f aca="false">IF(Bookings!$E13="",-1,ROUND(Bookings!$E13*1440,0))</f>
        <v>660</v>
      </c>
      <c r="AE13" s="98" t="n">
        <f aca="false">AE12+30</f>
        <v>840</v>
      </c>
    </row>
    <row r="14" customFormat="false" ht="15" hidden="false" customHeight="false" outlineLevel="0" collapsed="false">
      <c r="A14" s="97" t="n">
        <f aca="false">$AE14/1440</f>
        <v>0.604166666666667</v>
      </c>
      <c r="B14" s="96" t="n">
        <f aca="false">SUMPRODUCT(MAX((BkRoom=SelRoom)*(BkDate=B$2)*(BkStartMin&lt;=$AE$14)*(BkEndMin&gt;$AE$14)*ROW(BkDate)))</f>
        <v>0</v>
      </c>
      <c r="C14" s="96" t="n">
        <f aca="false">SUMPRODUCT(MAX((BkRoom=SelRoom)*(BkDate=C$2)*(BkStartMin&lt;=$AE$14)*(BkEndMin&gt;$AE$14)*ROW(BkDate)))</f>
        <v>28</v>
      </c>
      <c r="D14" s="96" t="n">
        <f aca="false">SUMPRODUCT(MAX((BkRoom=SelRoom)*(BkDate=D$2)*(BkStartMin&lt;=$AE$14)*(BkEndMin&gt;$AE$14)*ROW(BkDate)))</f>
        <v>42</v>
      </c>
      <c r="E14" s="96" t="n">
        <f aca="false">SUMPRODUCT(MAX((BkRoom=SelRoom)*(BkDate=E$2)*(BkStartMin&lt;=$AE$14)*(BkEndMin&gt;$AE$14)*ROW(BkDate)))</f>
        <v>52</v>
      </c>
      <c r="F14" s="96" t="n">
        <f aca="false">SUMPRODUCT(MAX((BkRoom=SelRoom)*(BkDate=F$2)*(BkStartMin&lt;=$AE$14)*(BkEndMin&gt;$AE$14)*ROW(BkDate)))</f>
        <v>65</v>
      </c>
      <c r="G14" s="96" t="n">
        <f aca="false">SUMPRODUCT(MAX((BkRoom=SelRoom)*(BkDate=G$2)*(BkStartMin&lt;=$AE$14)*(BkEndMin&gt;$AE$14)*ROW(BkDate)))</f>
        <v>0</v>
      </c>
      <c r="H14" s="96" t="n">
        <f aca="false">SUMPRODUCT(MAX((BkRoom=SelRoom)*(BkDate=H$2)*(BkStartMin&lt;=$AE$14)*(BkEndMin&gt;$AE$14)*ROW(BkDate)))</f>
        <v>0</v>
      </c>
      <c r="I14" s="96" t="n">
        <f aca="false">SUMPRODUCT(MAX((BkRoom=SelRoom)*(BkDate=I$2)*(BkStartMin&lt;=$AE$14)*(BkEndMin&gt;$AE$14)*ROW(BkDate)))</f>
        <v>0</v>
      </c>
      <c r="J14" s="96" t="n">
        <f aca="false">SUMPRODUCT(MAX((BkRoom=SelRoom)*(BkDate=J$2)*(BkStartMin&lt;=$AE$14)*(BkEndMin&gt;$AE$14)*ROW(BkDate)))</f>
        <v>114</v>
      </c>
      <c r="K14" s="96" t="n">
        <f aca="false">SUMPRODUCT(MAX((BkRoom=SelRoom)*(BkDate=K$2)*(BkStartMin&lt;=$AE$14)*(BkEndMin&gt;$AE$14)*ROW(BkDate)))</f>
        <v>0</v>
      </c>
      <c r="M14" s="96" t="n">
        <f aca="false">SUMPRODUCT(MAX((BkRoom=M$2)*(BkDate=SelDate)*(BkStartMin&lt;=$AE$14)*(BkEndMin&gt;$AE$14)*(M$2&lt;&gt;"")*ROW(BkDate)))</f>
        <v>0</v>
      </c>
      <c r="N14" s="96" t="n">
        <f aca="false">SUMPRODUCT(MAX((BkRoom=N$2)*(BkDate=SelDate)*(BkStartMin&lt;=$AE$14)*(BkEndMin&gt;$AE$14)*(N$2&lt;&gt;"")*ROW(BkDate)))</f>
        <v>0</v>
      </c>
      <c r="O14" s="96" t="n">
        <f aca="false">SUMPRODUCT(MAX((BkRoom=O$2)*(BkDate=SelDate)*(BkStartMin&lt;=$AE$14)*(BkEndMin&gt;$AE$14)*(O$2&lt;&gt;"")*ROW(BkDate)))</f>
        <v>0</v>
      </c>
      <c r="P14" s="96" t="n">
        <f aca="false">SUMPRODUCT(MAX((BkRoom=P$2)*(BkDate=SelDate)*(BkStartMin&lt;=$AE$14)*(BkEndMin&gt;$AE$14)*(P$2&lt;&gt;"")*ROW(BkDate)))</f>
        <v>19</v>
      </c>
      <c r="Q14" s="96" t="n">
        <f aca="false">SUMPRODUCT(MAX((BkRoom=Q$2)*(BkDate=SelDate)*(BkStartMin&lt;=$AE$14)*(BkEndMin&gt;$AE$14)*(Q$2&lt;&gt;"")*ROW(BkDate)))</f>
        <v>0</v>
      </c>
      <c r="R14" s="96" t="n">
        <f aca="false">SUMPRODUCT(MAX((BkRoom=R$2)*(BkDate=SelDate)*(BkStartMin&lt;=$AE$14)*(BkEndMin&gt;$AE$14)*(R$2&lt;&gt;"")*ROW(BkDate)))</f>
        <v>20</v>
      </c>
      <c r="S14" s="96" t="n">
        <f aca="false">SUMPRODUCT(MAX((BkRoom=S$2)*(BkDate=SelDate)*(BkStartMin&lt;=$AE$14)*(BkEndMin&gt;$AE$14)*(S$2&lt;&gt;"")*ROW(BkDate)))</f>
        <v>0</v>
      </c>
      <c r="T14" s="96" t="n">
        <f aca="false">SUMPRODUCT(MAX((BkRoom=T$2)*(BkDate=SelDate)*(BkStartMin&lt;=$AE$14)*(BkEndMin&gt;$AE$14)*(T$2&lt;&gt;"")*ROW(BkDate)))</f>
        <v>0</v>
      </c>
      <c r="U14" s="96" t="n">
        <f aca="false">SUMPRODUCT(MAX((BkRoom=U$2)*(BkDate=SelDate)*(BkStartMin&lt;=$AE$14)*(BkEndMin&gt;$AE$14)*(U$2&lt;&gt;"")*ROW(BkDate)))</f>
        <v>0</v>
      </c>
      <c r="V14" s="96" t="n">
        <f aca="false">SUMPRODUCT(MAX((BkRoom=V$2)*(BkDate=SelDate)*(BkStartMin&lt;=$AE$14)*(BkEndMin&gt;$AE$14)*(V$2&lt;&gt;"")*ROW(BkDate)))</f>
        <v>0</v>
      </c>
      <c r="W14" s="96" t="n">
        <f aca="false">SUMPRODUCT(MAX((BkRoom=W$2)*(BkDate=SelDate)*(BkStartMin&lt;=$AE$14)*(BkEndMin&gt;$AE$14)*(W$2&lt;&gt;"")*ROW(BkDate)))</f>
        <v>0</v>
      </c>
      <c r="X14" s="96" t="n">
        <f aca="false">SUMPRODUCT(MAX((BkRoom=X$2)*(BkDate=SelDate)*(BkStartMin&lt;=$AE$14)*(BkEndMin&gt;$AE$14)*(X$2&lt;&gt;"")*ROW(BkDate)))</f>
        <v>0</v>
      </c>
      <c r="Z14" s="98" t="n">
        <f aca="false">IF(Bookings!$C14="","",IFERROR(INDEX(RoomSeats,MATCH(Bookings!$C14,RoomList,0)),""))</f>
        <v>2</v>
      </c>
      <c r="AA14" s="98" t="n">
        <f aca="false">IF(Bookings!$D14="",-1,ROUND(Bookings!$D14*1440,0))</f>
        <v>630</v>
      </c>
      <c r="AB14" s="98" t="n">
        <f aca="false">IF(Bookings!$E14="",-1,ROUND(Bookings!$E14*1440,0))</f>
        <v>660</v>
      </c>
      <c r="AE14" s="98" t="n">
        <f aca="false">AE13+30</f>
        <v>870</v>
      </c>
    </row>
    <row r="15" customFormat="false" ht="15" hidden="false" customHeight="false" outlineLevel="0" collapsed="false">
      <c r="A15" s="97" t="n">
        <f aca="false">$AE15/1440</f>
        <v>0.625</v>
      </c>
      <c r="B15" s="96" t="n">
        <f aca="false">SUMPRODUCT(MAX((BkRoom=SelRoom)*(BkDate=B$2)*(BkStartMin&lt;=$AE$15)*(BkEndMin&gt;$AE$15)*ROW(BkDate)))</f>
        <v>0</v>
      </c>
      <c r="C15" s="96" t="n">
        <f aca="false">SUMPRODUCT(MAX((BkRoom=SelRoom)*(BkDate=C$2)*(BkStartMin&lt;=$AE$15)*(BkEndMin&gt;$AE$15)*ROW(BkDate)))</f>
        <v>28</v>
      </c>
      <c r="D15" s="96" t="n">
        <f aca="false">SUMPRODUCT(MAX((BkRoom=SelRoom)*(BkDate=D$2)*(BkStartMin&lt;=$AE$15)*(BkEndMin&gt;$AE$15)*ROW(BkDate)))</f>
        <v>42</v>
      </c>
      <c r="E15" s="96" t="n">
        <f aca="false">SUMPRODUCT(MAX((BkRoom=SelRoom)*(BkDate=E$2)*(BkStartMin&lt;=$AE$15)*(BkEndMin&gt;$AE$15)*ROW(BkDate)))</f>
        <v>53</v>
      </c>
      <c r="F15" s="96" t="n">
        <f aca="false">SUMPRODUCT(MAX((BkRoom=SelRoom)*(BkDate=F$2)*(BkStartMin&lt;=$AE$15)*(BkEndMin&gt;$AE$15)*ROW(BkDate)))</f>
        <v>0</v>
      </c>
      <c r="G15" s="96" t="n">
        <f aca="false">SUMPRODUCT(MAX((BkRoom=SelRoom)*(BkDate=G$2)*(BkStartMin&lt;=$AE$15)*(BkEndMin&gt;$AE$15)*ROW(BkDate)))</f>
        <v>80</v>
      </c>
      <c r="H15" s="96" t="n">
        <f aca="false">SUMPRODUCT(MAX((BkRoom=SelRoom)*(BkDate=H$2)*(BkStartMin&lt;=$AE$15)*(BkEndMin&gt;$AE$15)*ROW(BkDate)))</f>
        <v>0</v>
      </c>
      <c r="I15" s="96" t="n">
        <f aca="false">SUMPRODUCT(MAX((BkRoom=SelRoom)*(BkDate=I$2)*(BkStartMin&lt;=$AE$15)*(BkEndMin&gt;$AE$15)*ROW(BkDate)))</f>
        <v>0</v>
      </c>
      <c r="J15" s="96" t="n">
        <f aca="false">SUMPRODUCT(MAX((BkRoom=SelRoom)*(BkDate=J$2)*(BkStartMin&lt;=$AE$15)*(BkEndMin&gt;$AE$15)*ROW(BkDate)))</f>
        <v>0</v>
      </c>
      <c r="K15" s="96" t="n">
        <f aca="false">SUMPRODUCT(MAX((BkRoom=SelRoom)*(BkDate=K$2)*(BkStartMin&lt;=$AE$15)*(BkEndMin&gt;$AE$15)*ROW(BkDate)))</f>
        <v>126</v>
      </c>
      <c r="M15" s="96" t="n">
        <f aca="false">SUMPRODUCT(MAX((BkRoom=M$2)*(BkDate=SelDate)*(BkStartMin&lt;=$AE$15)*(BkEndMin&gt;$AE$15)*(M$2&lt;&gt;"")*ROW(BkDate)))</f>
        <v>0</v>
      </c>
      <c r="N15" s="96" t="n">
        <f aca="false">SUMPRODUCT(MAX((BkRoom=N$2)*(BkDate=SelDate)*(BkStartMin&lt;=$AE$15)*(BkEndMin&gt;$AE$15)*(N$2&lt;&gt;"")*ROW(BkDate)))</f>
        <v>0</v>
      </c>
      <c r="O15" s="96" t="n">
        <f aca="false">SUMPRODUCT(MAX((BkRoom=O$2)*(BkDate=SelDate)*(BkStartMin&lt;=$AE$15)*(BkEndMin&gt;$AE$15)*(O$2&lt;&gt;"")*ROW(BkDate)))</f>
        <v>0</v>
      </c>
      <c r="P15" s="96" t="n">
        <f aca="false">SUMPRODUCT(MAX((BkRoom=P$2)*(BkDate=SelDate)*(BkStartMin&lt;=$AE$15)*(BkEndMin&gt;$AE$15)*(P$2&lt;&gt;"")*ROW(BkDate)))</f>
        <v>0</v>
      </c>
      <c r="Q15" s="96" t="n">
        <f aca="false">SUMPRODUCT(MAX((BkRoom=Q$2)*(BkDate=SelDate)*(BkStartMin&lt;=$AE$15)*(BkEndMin&gt;$AE$15)*(Q$2&lt;&gt;"")*ROW(BkDate)))</f>
        <v>0</v>
      </c>
      <c r="R15" s="96" t="n">
        <f aca="false">SUMPRODUCT(MAX((BkRoom=R$2)*(BkDate=SelDate)*(BkStartMin&lt;=$AE$15)*(BkEndMin&gt;$AE$15)*(R$2&lt;&gt;"")*ROW(BkDate)))</f>
        <v>0</v>
      </c>
      <c r="S15" s="96" t="n">
        <f aca="false">SUMPRODUCT(MAX((BkRoom=S$2)*(BkDate=SelDate)*(BkStartMin&lt;=$AE$15)*(BkEndMin&gt;$AE$15)*(S$2&lt;&gt;"")*ROW(BkDate)))</f>
        <v>0</v>
      </c>
      <c r="T15" s="96" t="n">
        <f aca="false">SUMPRODUCT(MAX((BkRoom=T$2)*(BkDate=SelDate)*(BkStartMin&lt;=$AE$15)*(BkEndMin&gt;$AE$15)*(T$2&lt;&gt;"")*ROW(BkDate)))</f>
        <v>0</v>
      </c>
      <c r="U15" s="96" t="n">
        <f aca="false">SUMPRODUCT(MAX((BkRoom=U$2)*(BkDate=SelDate)*(BkStartMin&lt;=$AE$15)*(BkEndMin&gt;$AE$15)*(U$2&lt;&gt;"")*ROW(BkDate)))</f>
        <v>0</v>
      </c>
      <c r="V15" s="96" t="n">
        <f aca="false">SUMPRODUCT(MAX((BkRoom=V$2)*(BkDate=SelDate)*(BkStartMin&lt;=$AE$15)*(BkEndMin&gt;$AE$15)*(V$2&lt;&gt;"")*ROW(BkDate)))</f>
        <v>0</v>
      </c>
      <c r="W15" s="96" t="n">
        <f aca="false">SUMPRODUCT(MAX((BkRoom=W$2)*(BkDate=SelDate)*(BkStartMin&lt;=$AE$15)*(BkEndMin&gt;$AE$15)*(W$2&lt;&gt;"")*ROW(BkDate)))</f>
        <v>0</v>
      </c>
      <c r="X15" s="96" t="n">
        <f aca="false">SUMPRODUCT(MAX((BkRoom=X$2)*(BkDate=SelDate)*(BkStartMin&lt;=$AE$15)*(BkEndMin&gt;$AE$15)*(X$2&lt;&gt;"")*ROW(BkDate)))</f>
        <v>0</v>
      </c>
      <c r="Z15" s="98" t="n">
        <f aca="false">IF(Bookings!$C15="","",IFERROR(INDEX(RoomSeats,MATCH(Bookings!$C15,RoomList,0)),""))</f>
        <v>4</v>
      </c>
      <c r="AA15" s="98" t="n">
        <f aca="false">IF(Bookings!$D15="",-1,ROUND(Bookings!$D15*1440,0))</f>
        <v>660</v>
      </c>
      <c r="AB15" s="98" t="n">
        <f aca="false">IF(Bookings!$E15="",-1,ROUND(Bookings!$E15*1440,0))</f>
        <v>720</v>
      </c>
      <c r="AE15" s="98" t="n">
        <f aca="false">AE14+30</f>
        <v>900</v>
      </c>
    </row>
    <row r="16" customFormat="false" ht="15" hidden="false" customHeight="false" outlineLevel="0" collapsed="false">
      <c r="A16" s="97" t="n">
        <f aca="false">$AE16/1440</f>
        <v>0.645833333333333</v>
      </c>
      <c r="B16" s="96" t="n">
        <f aca="false">SUMPRODUCT(MAX((BkRoom=SelRoom)*(BkDate=B$2)*(BkStartMin&lt;=$AE$16)*(BkEndMin&gt;$AE$16)*ROW(BkDate)))</f>
        <v>0</v>
      </c>
      <c r="C16" s="96" t="n">
        <f aca="false">SUMPRODUCT(MAX((BkRoom=SelRoom)*(BkDate=C$2)*(BkStartMin&lt;=$AE$16)*(BkEndMin&gt;$AE$16)*ROW(BkDate)))</f>
        <v>28</v>
      </c>
      <c r="D16" s="96" t="n">
        <f aca="false">SUMPRODUCT(MAX((BkRoom=SelRoom)*(BkDate=D$2)*(BkStartMin&lt;=$AE$16)*(BkEndMin&gt;$AE$16)*ROW(BkDate)))</f>
        <v>44</v>
      </c>
      <c r="E16" s="96" t="n">
        <f aca="false">SUMPRODUCT(MAX((BkRoom=SelRoom)*(BkDate=E$2)*(BkStartMin&lt;=$AE$16)*(BkEndMin&gt;$AE$16)*ROW(BkDate)))</f>
        <v>53</v>
      </c>
      <c r="F16" s="96" t="n">
        <f aca="false">SUMPRODUCT(MAX((BkRoom=SelRoom)*(BkDate=F$2)*(BkStartMin&lt;=$AE$16)*(BkEndMin&gt;$AE$16)*ROW(BkDate)))</f>
        <v>0</v>
      </c>
      <c r="G16" s="96" t="n">
        <f aca="false">SUMPRODUCT(MAX((BkRoom=SelRoom)*(BkDate=G$2)*(BkStartMin&lt;=$AE$16)*(BkEndMin&gt;$AE$16)*ROW(BkDate)))</f>
        <v>80</v>
      </c>
      <c r="H16" s="96" t="n">
        <f aca="false">SUMPRODUCT(MAX((BkRoom=SelRoom)*(BkDate=H$2)*(BkStartMin&lt;=$AE$16)*(BkEndMin&gt;$AE$16)*ROW(BkDate)))</f>
        <v>0</v>
      </c>
      <c r="I16" s="96" t="n">
        <f aca="false">SUMPRODUCT(MAX((BkRoom=SelRoom)*(BkDate=I$2)*(BkStartMin&lt;=$AE$16)*(BkEndMin&gt;$AE$16)*ROW(BkDate)))</f>
        <v>0</v>
      </c>
      <c r="J16" s="96" t="n">
        <f aca="false">SUMPRODUCT(MAX((BkRoom=SelRoom)*(BkDate=J$2)*(BkStartMin&lt;=$AE$16)*(BkEndMin&gt;$AE$16)*ROW(BkDate)))</f>
        <v>0</v>
      </c>
      <c r="K16" s="96" t="n">
        <f aca="false">SUMPRODUCT(MAX((BkRoom=SelRoom)*(BkDate=K$2)*(BkStartMin&lt;=$AE$16)*(BkEndMin&gt;$AE$16)*ROW(BkDate)))</f>
        <v>126</v>
      </c>
      <c r="M16" s="96" t="n">
        <f aca="false">SUMPRODUCT(MAX((BkRoom=M$2)*(BkDate=SelDate)*(BkStartMin&lt;=$AE$16)*(BkEndMin&gt;$AE$16)*(M$2&lt;&gt;"")*ROW(BkDate)))</f>
        <v>0</v>
      </c>
      <c r="N16" s="96" t="n">
        <f aca="false">SUMPRODUCT(MAX((BkRoom=N$2)*(BkDate=SelDate)*(BkStartMin&lt;=$AE$16)*(BkEndMin&gt;$AE$16)*(N$2&lt;&gt;"")*ROW(BkDate)))</f>
        <v>0</v>
      </c>
      <c r="O16" s="96" t="n">
        <f aca="false">SUMPRODUCT(MAX((BkRoom=O$2)*(BkDate=SelDate)*(BkStartMin&lt;=$AE$16)*(BkEndMin&gt;$AE$16)*(O$2&lt;&gt;"")*ROW(BkDate)))</f>
        <v>0</v>
      </c>
      <c r="P16" s="96" t="n">
        <f aca="false">SUMPRODUCT(MAX((BkRoom=P$2)*(BkDate=SelDate)*(BkStartMin&lt;=$AE$16)*(BkEndMin&gt;$AE$16)*(P$2&lt;&gt;"")*ROW(BkDate)))</f>
        <v>0</v>
      </c>
      <c r="Q16" s="96" t="n">
        <f aca="false">SUMPRODUCT(MAX((BkRoom=Q$2)*(BkDate=SelDate)*(BkStartMin&lt;=$AE$16)*(BkEndMin&gt;$AE$16)*(Q$2&lt;&gt;"")*ROW(BkDate)))</f>
        <v>0</v>
      </c>
      <c r="R16" s="96" t="n">
        <f aca="false">SUMPRODUCT(MAX((BkRoom=R$2)*(BkDate=SelDate)*(BkStartMin&lt;=$AE$16)*(BkEndMin&gt;$AE$16)*(R$2&lt;&gt;"")*ROW(BkDate)))</f>
        <v>0</v>
      </c>
      <c r="S16" s="96" t="n">
        <f aca="false">SUMPRODUCT(MAX((BkRoom=S$2)*(BkDate=SelDate)*(BkStartMin&lt;=$AE$16)*(BkEndMin&gt;$AE$16)*(S$2&lt;&gt;"")*ROW(BkDate)))</f>
        <v>0</v>
      </c>
      <c r="T16" s="96" t="n">
        <f aca="false">SUMPRODUCT(MAX((BkRoom=T$2)*(BkDate=SelDate)*(BkStartMin&lt;=$AE$16)*(BkEndMin&gt;$AE$16)*(T$2&lt;&gt;"")*ROW(BkDate)))</f>
        <v>0</v>
      </c>
      <c r="U16" s="96" t="n">
        <f aca="false">SUMPRODUCT(MAX((BkRoom=U$2)*(BkDate=SelDate)*(BkStartMin&lt;=$AE$16)*(BkEndMin&gt;$AE$16)*(U$2&lt;&gt;"")*ROW(BkDate)))</f>
        <v>0</v>
      </c>
      <c r="V16" s="96" t="n">
        <f aca="false">SUMPRODUCT(MAX((BkRoom=V$2)*(BkDate=SelDate)*(BkStartMin&lt;=$AE$16)*(BkEndMin&gt;$AE$16)*(V$2&lt;&gt;"")*ROW(BkDate)))</f>
        <v>0</v>
      </c>
      <c r="W16" s="96" t="n">
        <f aca="false">SUMPRODUCT(MAX((BkRoom=W$2)*(BkDate=SelDate)*(BkStartMin&lt;=$AE$16)*(BkEndMin&gt;$AE$16)*(W$2&lt;&gt;"")*ROW(BkDate)))</f>
        <v>0</v>
      </c>
      <c r="X16" s="96" t="n">
        <f aca="false">SUMPRODUCT(MAX((BkRoom=X$2)*(BkDate=SelDate)*(BkStartMin&lt;=$AE$16)*(BkEndMin&gt;$AE$16)*(X$2&lt;&gt;"")*ROW(BkDate)))</f>
        <v>0</v>
      </c>
      <c r="Z16" s="98" t="n">
        <f aca="false">IF(Bookings!$C16="","",IFERROR(INDEX(RoomSeats,MATCH(Bookings!$C16,RoomList,0)),""))</f>
        <v>2</v>
      </c>
      <c r="AA16" s="98" t="n">
        <f aca="false">IF(Bookings!$D16="",-1,ROUND(Bookings!$D16*1440,0))</f>
        <v>720</v>
      </c>
      <c r="AB16" s="98" t="n">
        <f aca="false">IF(Bookings!$E16="",-1,ROUND(Bookings!$E16*1440,0))</f>
        <v>750</v>
      </c>
      <c r="AE16" s="98" t="n">
        <f aca="false">AE15+30</f>
        <v>930</v>
      </c>
    </row>
    <row r="17" customFormat="false" ht="15" hidden="false" customHeight="false" outlineLevel="0" collapsed="false">
      <c r="A17" s="97" t="n">
        <f aca="false">$AE17/1440</f>
        <v>0.666666666666667</v>
      </c>
      <c r="B17" s="96" t="n">
        <f aca="false">SUMPRODUCT(MAX((BkRoom=SelRoom)*(BkDate=B$2)*(BkStartMin&lt;=$AE$17)*(BkEndMin&gt;$AE$17)*ROW(BkDate)))</f>
        <v>0</v>
      </c>
      <c r="C17" s="96" t="n">
        <f aca="false">SUMPRODUCT(MAX((BkRoom=SelRoom)*(BkDate=C$2)*(BkStartMin&lt;=$AE$17)*(BkEndMin&gt;$AE$17)*ROW(BkDate)))</f>
        <v>28</v>
      </c>
      <c r="D17" s="96" t="n">
        <f aca="false">SUMPRODUCT(MAX((BkRoom=SelRoom)*(BkDate=D$2)*(BkStartMin&lt;=$AE$17)*(BkEndMin&gt;$AE$17)*ROW(BkDate)))</f>
        <v>0</v>
      </c>
      <c r="E17" s="96" t="n">
        <f aca="false">SUMPRODUCT(MAX((BkRoom=SelRoom)*(BkDate=E$2)*(BkStartMin&lt;=$AE$17)*(BkEndMin&gt;$AE$17)*ROW(BkDate)))</f>
        <v>53</v>
      </c>
      <c r="F17" s="96" t="n">
        <f aca="false">SUMPRODUCT(MAX((BkRoom=SelRoom)*(BkDate=F$2)*(BkStartMin&lt;=$AE$17)*(BkEndMin&gt;$AE$17)*ROW(BkDate)))</f>
        <v>0</v>
      </c>
      <c r="G17" s="96" t="n">
        <f aca="false">SUMPRODUCT(MAX((BkRoom=SelRoom)*(BkDate=G$2)*(BkStartMin&lt;=$AE$17)*(BkEndMin&gt;$AE$17)*ROW(BkDate)))</f>
        <v>0</v>
      </c>
      <c r="H17" s="96" t="n">
        <f aca="false">SUMPRODUCT(MAX((BkRoom=SelRoom)*(BkDate=H$2)*(BkStartMin&lt;=$AE$17)*(BkEndMin&gt;$AE$17)*ROW(BkDate)))</f>
        <v>0</v>
      </c>
      <c r="I17" s="96" t="n">
        <f aca="false">SUMPRODUCT(MAX((BkRoom=SelRoom)*(BkDate=I$2)*(BkStartMin&lt;=$AE$17)*(BkEndMin&gt;$AE$17)*ROW(BkDate)))</f>
        <v>0</v>
      </c>
      <c r="J17" s="96" t="n">
        <f aca="false">SUMPRODUCT(MAX((BkRoom=SelRoom)*(BkDate=J$2)*(BkStartMin&lt;=$AE$17)*(BkEndMin&gt;$AE$17)*ROW(BkDate)))</f>
        <v>0</v>
      </c>
      <c r="K17" s="96" t="n">
        <f aca="false">SUMPRODUCT(MAX((BkRoom=SelRoom)*(BkDate=K$2)*(BkStartMin&lt;=$AE$17)*(BkEndMin&gt;$AE$17)*ROW(BkDate)))</f>
        <v>0</v>
      </c>
      <c r="M17" s="96" t="n">
        <f aca="false">SUMPRODUCT(MAX((BkRoom=M$2)*(BkDate=SelDate)*(BkStartMin&lt;=$AE$17)*(BkEndMin&gt;$AE$17)*(M$2&lt;&gt;"")*ROW(BkDate)))</f>
        <v>0</v>
      </c>
      <c r="N17" s="96" t="n">
        <f aca="false">SUMPRODUCT(MAX((BkRoom=N$2)*(BkDate=SelDate)*(BkStartMin&lt;=$AE$17)*(BkEndMin&gt;$AE$17)*(N$2&lt;&gt;"")*ROW(BkDate)))</f>
        <v>0</v>
      </c>
      <c r="O17" s="96" t="n">
        <f aca="false">SUMPRODUCT(MAX((BkRoom=O$2)*(BkDate=SelDate)*(BkStartMin&lt;=$AE$17)*(BkEndMin&gt;$AE$17)*(O$2&lt;&gt;"")*ROW(BkDate)))</f>
        <v>0</v>
      </c>
      <c r="P17" s="96" t="n">
        <f aca="false">SUMPRODUCT(MAX((BkRoom=P$2)*(BkDate=SelDate)*(BkStartMin&lt;=$AE$17)*(BkEndMin&gt;$AE$17)*(P$2&lt;&gt;"")*ROW(BkDate)))</f>
        <v>0</v>
      </c>
      <c r="Q17" s="96" t="n">
        <f aca="false">SUMPRODUCT(MAX((BkRoom=Q$2)*(BkDate=SelDate)*(BkStartMin&lt;=$AE$17)*(BkEndMin&gt;$AE$17)*(Q$2&lt;&gt;"")*ROW(BkDate)))</f>
        <v>0</v>
      </c>
      <c r="R17" s="96" t="n">
        <f aca="false">SUMPRODUCT(MAX((BkRoom=R$2)*(BkDate=SelDate)*(BkStartMin&lt;=$AE$17)*(BkEndMin&gt;$AE$17)*(R$2&lt;&gt;"")*ROW(BkDate)))</f>
        <v>0</v>
      </c>
      <c r="S17" s="96" t="n">
        <f aca="false">SUMPRODUCT(MAX((BkRoom=S$2)*(BkDate=SelDate)*(BkStartMin&lt;=$AE$17)*(BkEndMin&gt;$AE$17)*(S$2&lt;&gt;"")*ROW(BkDate)))</f>
        <v>0</v>
      </c>
      <c r="T17" s="96" t="n">
        <f aca="false">SUMPRODUCT(MAX((BkRoom=T$2)*(BkDate=SelDate)*(BkStartMin&lt;=$AE$17)*(BkEndMin&gt;$AE$17)*(T$2&lt;&gt;"")*ROW(BkDate)))</f>
        <v>0</v>
      </c>
      <c r="U17" s="96" t="n">
        <f aca="false">SUMPRODUCT(MAX((BkRoom=U$2)*(BkDate=SelDate)*(BkStartMin&lt;=$AE$17)*(BkEndMin&gt;$AE$17)*(U$2&lt;&gt;"")*ROW(BkDate)))</f>
        <v>0</v>
      </c>
      <c r="V17" s="96" t="n">
        <f aca="false">SUMPRODUCT(MAX((BkRoom=V$2)*(BkDate=SelDate)*(BkStartMin&lt;=$AE$17)*(BkEndMin&gt;$AE$17)*(V$2&lt;&gt;"")*ROW(BkDate)))</f>
        <v>0</v>
      </c>
      <c r="W17" s="96" t="n">
        <f aca="false">SUMPRODUCT(MAX((BkRoom=W$2)*(BkDate=SelDate)*(BkStartMin&lt;=$AE$17)*(BkEndMin&gt;$AE$17)*(W$2&lt;&gt;"")*ROW(BkDate)))</f>
        <v>0</v>
      </c>
      <c r="X17" s="96" t="n">
        <f aca="false">SUMPRODUCT(MAX((BkRoom=X$2)*(BkDate=SelDate)*(BkStartMin&lt;=$AE$17)*(BkEndMin&gt;$AE$17)*(X$2&lt;&gt;"")*ROW(BkDate)))</f>
        <v>0</v>
      </c>
      <c r="Z17" s="98" t="n">
        <f aca="false">IF(Bookings!$C17="","",IFERROR(INDEX(RoomSeats,MATCH(Bookings!$C17,RoomList,0)),""))</f>
        <v>8</v>
      </c>
      <c r="AA17" s="98" t="n">
        <f aca="false">IF(Bookings!$D17="",-1,ROUND(Bookings!$D17*1440,0))</f>
        <v>840</v>
      </c>
      <c r="AB17" s="98" t="n">
        <f aca="false">IF(Bookings!$E17="",-1,ROUND(Bookings!$E17*1440,0))</f>
        <v>870</v>
      </c>
      <c r="AE17" s="98" t="n">
        <f aca="false">AE16+30</f>
        <v>960</v>
      </c>
    </row>
    <row r="18" customFormat="false" ht="15" hidden="false" customHeight="false" outlineLevel="0" collapsed="false">
      <c r="A18" s="97" t="n">
        <f aca="false">$AE18/1440</f>
        <v>0.6875</v>
      </c>
      <c r="B18" s="96" t="n">
        <f aca="false">SUMPRODUCT(MAX((BkRoom=SelRoom)*(BkDate=B$2)*(BkStartMin&lt;=$AE$18)*(BkEndMin&gt;$AE$18)*ROW(BkDate)))</f>
        <v>0</v>
      </c>
      <c r="C18" s="96" t="n">
        <f aca="false">SUMPRODUCT(MAX((BkRoom=SelRoom)*(BkDate=C$2)*(BkStartMin&lt;=$AE$18)*(BkEndMin&gt;$AE$18)*ROW(BkDate)))</f>
        <v>0</v>
      </c>
      <c r="D18" s="96" t="n">
        <f aca="false">SUMPRODUCT(MAX((BkRoom=SelRoom)*(BkDate=D$2)*(BkStartMin&lt;=$AE$18)*(BkEndMin&gt;$AE$18)*ROW(BkDate)))</f>
        <v>0</v>
      </c>
      <c r="E18" s="96" t="n">
        <f aca="false">SUMPRODUCT(MAX((BkRoom=SelRoom)*(BkDate=E$2)*(BkStartMin&lt;=$AE$18)*(BkEndMin&gt;$AE$18)*ROW(BkDate)))</f>
        <v>0</v>
      </c>
      <c r="F18" s="96" t="n">
        <f aca="false">SUMPRODUCT(MAX((BkRoom=SelRoom)*(BkDate=F$2)*(BkStartMin&lt;=$AE$18)*(BkEndMin&gt;$AE$18)*ROW(BkDate)))</f>
        <v>0</v>
      </c>
      <c r="G18" s="96" t="n">
        <f aca="false">SUMPRODUCT(MAX((BkRoom=SelRoom)*(BkDate=G$2)*(BkStartMin&lt;=$AE$18)*(BkEndMin&gt;$AE$18)*ROW(BkDate)))</f>
        <v>0</v>
      </c>
      <c r="H18" s="96" t="n">
        <f aca="false">SUMPRODUCT(MAX((BkRoom=SelRoom)*(BkDate=H$2)*(BkStartMin&lt;=$AE$18)*(BkEndMin&gt;$AE$18)*ROW(BkDate)))</f>
        <v>0</v>
      </c>
      <c r="I18" s="96" t="n">
        <f aca="false">SUMPRODUCT(MAX((BkRoom=SelRoom)*(BkDate=I$2)*(BkStartMin&lt;=$AE$18)*(BkEndMin&gt;$AE$18)*ROW(BkDate)))</f>
        <v>0</v>
      </c>
      <c r="J18" s="96" t="n">
        <f aca="false">SUMPRODUCT(MAX((BkRoom=SelRoom)*(BkDate=J$2)*(BkStartMin&lt;=$AE$18)*(BkEndMin&gt;$AE$18)*ROW(BkDate)))</f>
        <v>0</v>
      </c>
      <c r="K18" s="96" t="n">
        <f aca="false">SUMPRODUCT(MAX((BkRoom=SelRoom)*(BkDate=K$2)*(BkStartMin&lt;=$AE$18)*(BkEndMin&gt;$AE$18)*ROW(BkDate)))</f>
        <v>0</v>
      </c>
      <c r="M18" s="96" t="n">
        <f aca="false">SUMPRODUCT(MAX((BkRoom=M$2)*(BkDate=SelDate)*(BkStartMin&lt;=$AE$18)*(BkEndMin&gt;$AE$18)*(M$2&lt;&gt;"")*ROW(BkDate)))</f>
        <v>0</v>
      </c>
      <c r="N18" s="96" t="n">
        <f aca="false">SUMPRODUCT(MAX((BkRoom=N$2)*(BkDate=SelDate)*(BkStartMin&lt;=$AE$18)*(BkEndMin&gt;$AE$18)*(N$2&lt;&gt;"")*ROW(BkDate)))</f>
        <v>0</v>
      </c>
      <c r="O18" s="96" t="n">
        <f aca="false">SUMPRODUCT(MAX((BkRoom=O$2)*(BkDate=SelDate)*(BkStartMin&lt;=$AE$18)*(BkEndMin&gt;$AE$18)*(O$2&lt;&gt;"")*ROW(BkDate)))</f>
        <v>0</v>
      </c>
      <c r="P18" s="96" t="n">
        <f aca="false">SUMPRODUCT(MAX((BkRoom=P$2)*(BkDate=SelDate)*(BkStartMin&lt;=$AE$18)*(BkEndMin&gt;$AE$18)*(P$2&lt;&gt;"")*ROW(BkDate)))</f>
        <v>0</v>
      </c>
      <c r="Q18" s="96" t="n">
        <f aca="false">SUMPRODUCT(MAX((BkRoom=Q$2)*(BkDate=SelDate)*(BkStartMin&lt;=$AE$18)*(BkEndMin&gt;$AE$18)*(Q$2&lt;&gt;"")*ROW(BkDate)))</f>
        <v>0</v>
      </c>
      <c r="R18" s="96" t="n">
        <f aca="false">SUMPRODUCT(MAX((BkRoom=R$2)*(BkDate=SelDate)*(BkStartMin&lt;=$AE$18)*(BkEndMin&gt;$AE$18)*(R$2&lt;&gt;"")*ROW(BkDate)))</f>
        <v>0</v>
      </c>
      <c r="S18" s="96" t="n">
        <f aca="false">SUMPRODUCT(MAX((BkRoom=S$2)*(BkDate=SelDate)*(BkStartMin&lt;=$AE$18)*(BkEndMin&gt;$AE$18)*(S$2&lt;&gt;"")*ROW(BkDate)))</f>
        <v>0</v>
      </c>
      <c r="T18" s="96" t="n">
        <f aca="false">SUMPRODUCT(MAX((BkRoom=T$2)*(BkDate=SelDate)*(BkStartMin&lt;=$AE$18)*(BkEndMin&gt;$AE$18)*(T$2&lt;&gt;"")*ROW(BkDate)))</f>
        <v>0</v>
      </c>
      <c r="U18" s="96" t="n">
        <f aca="false">SUMPRODUCT(MAX((BkRoom=U$2)*(BkDate=SelDate)*(BkStartMin&lt;=$AE$18)*(BkEndMin&gt;$AE$18)*(U$2&lt;&gt;"")*ROW(BkDate)))</f>
        <v>0</v>
      </c>
      <c r="V18" s="96" t="n">
        <f aca="false">SUMPRODUCT(MAX((BkRoom=V$2)*(BkDate=SelDate)*(BkStartMin&lt;=$AE$18)*(BkEndMin&gt;$AE$18)*(V$2&lt;&gt;"")*ROW(BkDate)))</f>
        <v>0</v>
      </c>
      <c r="W18" s="96" t="n">
        <f aca="false">SUMPRODUCT(MAX((BkRoom=W$2)*(BkDate=SelDate)*(BkStartMin&lt;=$AE$18)*(BkEndMin&gt;$AE$18)*(W$2&lt;&gt;"")*ROW(BkDate)))</f>
        <v>0</v>
      </c>
      <c r="X18" s="96" t="n">
        <f aca="false">SUMPRODUCT(MAX((BkRoom=X$2)*(BkDate=SelDate)*(BkStartMin&lt;=$AE$18)*(BkEndMin&gt;$AE$18)*(X$2&lt;&gt;"")*ROW(BkDate)))</f>
        <v>0</v>
      </c>
      <c r="Z18" s="98" t="n">
        <f aca="false">IF(Bookings!$C18="","",IFERROR(INDEX(RoomSeats,MATCH(Bookings!$C18,RoomList,0)),""))</f>
        <v>2</v>
      </c>
      <c r="AA18" s="98" t="n">
        <f aca="false">IF(Bookings!$D18="",-1,ROUND(Bookings!$D18*1440,0))</f>
        <v>840</v>
      </c>
      <c r="AB18" s="98" t="n">
        <f aca="false">IF(Bookings!$E18="",-1,ROUND(Bookings!$E18*1440,0))</f>
        <v>870</v>
      </c>
      <c r="AE18" s="98" t="n">
        <f aca="false">AE17+30</f>
        <v>990</v>
      </c>
    </row>
    <row r="19" customFormat="false" ht="15" hidden="false" customHeight="false" outlineLevel="0" collapsed="false">
      <c r="Z19" s="98" t="n">
        <f aca="false">IF(Bookings!$C19="","",IFERROR(INDEX(RoomSeats,MATCH(Bookings!$C19,RoomList,0)),""))</f>
        <v>4</v>
      </c>
      <c r="AA19" s="98" t="n">
        <f aca="false">IF(Bookings!$D19="",-1,ROUND(Bookings!$D19*1440,0))</f>
        <v>870</v>
      </c>
      <c r="AB19" s="98" t="n">
        <f aca="false">IF(Bookings!$E19="",-1,ROUND(Bookings!$E19*1440,0))</f>
        <v>900</v>
      </c>
    </row>
    <row r="20" customFormat="false" ht="15" hidden="false" customHeight="false" outlineLevel="0" collapsed="false">
      <c r="Z20" s="98" t="n">
        <f aca="false">IF(Bookings!$C20="","",IFERROR(INDEX(RoomSeats,MATCH(Bookings!$C20,RoomList,0)),""))</f>
        <v>2</v>
      </c>
      <c r="AA20" s="98" t="n">
        <f aca="false">IF(Bookings!$D20="",-1,ROUND(Bookings!$D20*1440,0))</f>
        <v>870</v>
      </c>
      <c r="AB20" s="98" t="n">
        <f aca="false">IF(Bookings!$E20="",-1,ROUND(Bookings!$E20*1440,0))</f>
        <v>900</v>
      </c>
    </row>
    <row r="21" customFormat="false" ht="15" hidden="false" customHeight="false" outlineLevel="0" collapsed="false">
      <c r="A21" s="97" t="n">
        <f aca="false">$AE3/1440</f>
        <v>0.375</v>
      </c>
      <c r="B21" s="96" t="n">
        <f aca="false">SUMPRODUCT((BkRoom=SelRoom)*(BkDate=B$2)*(BkStartMin&lt;=$AE$3)*(BkEndMin&gt;$AE$3))</f>
        <v>0</v>
      </c>
      <c r="C21" s="96" t="n">
        <f aca="false">SUMPRODUCT((BkRoom=SelRoom)*(BkDate=C$2)*(BkStartMin&lt;=$AE$3)*(BkEndMin&gt;$AE$3))</f>
        <v>0</v>
      </c>
      <c r="D21" s="96" t="n">
        <f aca="false">SUMPRODUCT((BkRoom=SelRoom)*(BkDate=D$2)*(BkStartMin&lt;=$AE$3)*(BkEndMin&gt;$AE$3))</f>
        <v>0</v>
      </c>
      <c r="E21" s="96" t="n">
        <f aca="false">SUMPRODUCT((BkRoom=SelRoom)*(BkDate=E$2)*(BkStartMin&lt;=$AE$3)*(BkEndMin&gt;$AE$3))</f>
        <v>0</v>
      </c>
      <c r="F21" s="96" t="n">
        <f aca="false">SUMPRODUCT((BkRoom=SelRoom)*(BkDate=F$2)*(BkStartMin&lt;=$AE$3)*(BkEndMin&gt;$AE$3))</f>
        <v>0</v>
      </c>
      <c r="G21" s="96" t="n">
        <f aca="false">SUMPRODUCT((BkRoom=SelRoom)*(BkDate=G$2)*(BkStartMin&lt;=$AE$3)*(BkEndMin&gt;$AE$3))</f>
        <v>0</v>
      </c>
      <c r="H21" s="96" t="n">
        <f aca="false">SUMPRODUCT((BkRoom=SelRoom)*(BkDate=H$2)*(BkStartMin&lt;=$AE$3)*(BkEndMin&gt;$AE$3))</f>
        <v>1</v>
      </c>
      <c r="I21" s="96" t="n">
        <f aca="false">SUMPRODUCT((BkRoom=SelRoom)*(BkDate=I$2)*(BkStartMin&lt;=$AE$3)*(BkEndMin&gt;$AE$3))</f>
        <v>1</v>
      </c>
      <c r="J21" s="96" t="n">
        <f aca="false">SUMPRODUCT((BkRoom=SelRoom)*(BkDate=J$2)*(BkStartMin&lt;=$AE$3)*(BkEndMin&gt;$AE$3))</f>
        <v>0</v>
      </c>
      <c r="K21" s="96" t="n">
        <f aca="false">SUMPRODUCT((BkRoom=SelRoom)*(BkDate=K$2)*(BkStartMin&lt;=$AE$3)*(BkEndMin&gt;$AE$3))</f>
        <v>0</v>
      </c>
      <c r="M21" s="96" t="n">
        <f aca="false">SUMPRODUCT((BkRoom=M$2)*(BkDate=SelDate)*(BkStartMin&lt;=$AE$3)*(BkEndMin&gt;$AE$3)*(M$2&lt;&gt;""))</f>
        <v>0</v>
      </c>
      <c r="N21" s="96" t="n">
        <f aca="false">SUMPRODUCT((BkRoom=N$2)*(BkDate=SelDate)*(BkStartMin&lt;=$AE$3)*(BkEndMin&gt;$AE$3)*(N$2&lt;&gt;""))</f>
        <v>0</v>
      </c>
      <c r="O21" s="96" t="n">
        <f aca="false">SUMPRODUCT((BkRoom=O$2)*(BkDate=SelDate)*(BkStartMin&lt;=$AE$3)*(BkEndMin&gt;$AE$3)*(O$2&lt;&gt;""))</f>
        <v>0</v>
      </c>
      <c r="P21" s="96" t="n">
        <f aca="false">SUMPRODUCT((BkRoom=P$2)*(BkDate=SelDate)*(BkStartMin&lt;=$AE$3)*(BkEndMin&gt;$AE$3)*(P$2&lt;&gt;""))</f>
        <v>0</v>
      </c>
      <c r="Q21" s="96" t="n">
        <f aca="false">SUMPRODUCT((BkRoom=Q$2)*(BkDate=SelDate)*(BkStartMin&lt;=$AE$3)*(BkEndMin&gt;$AE$3)*(Q$2&lt;&gt;""))</f>
        <v>1</v>
      </c>
      <c r="R21" s="96" t="n">
        <f aca="false">SUMPRODUCT((BkRoom=R$2)*(BkDate=SelDate)*(BkStartMin&lt;=$AE$3)*(BkEndMin&gt;$AE$3)*(R$2&lt;&gt;""))</f>
        <v>1</v>
      </c>
      <c r="S21" s="96" t="n">
        <f aca="false">SUMPRODUCT((BkRoom=S$2)*(BkDate=SelDate)*(BkStartMin&lt;=$AE$3)*(BkEndMin&gt;$AE$3)*(S$2&lt;&gt;""))</f>
        <v>0</v>
      </c>
      <c r="T21" s="96" t="n">
        <f aca="false">SUMPRODUCT((BkRoom=T$2)*(BkDate=SelDate)*(BkStartMin&lt;=$AE$3)*(BkEndMin&gt;$AE$3)*(T$2&lt;&gt;""))</f>
        <v>0</v>
      </c>
      <c r="U21" s="96" t="n">
        <f aca="false">SUMPRODUCT((BkRoom=U$2)*(BkDate=SelDate)*(BkStartMin&lt;=$AE$3)*(BkEndMin&gt;$AE$3)*(U$2&lt;&gt;""))</f>
        <v>0</v>
      </c>
      <c r="V21" s="96" t="n">
        <f aca="false">SUMPRODUCT((BkRoom=V$2)*(BkDate=SelDate)*(BkStartMin&lt;=$AE$3)*(BkEndMin&gt;$AE$3)*(V$2&lt;&gt;""))</f>
        <v>0</v>
      </c>
      <c r="W21" s="96" t="n">
        <f aca="false">SUMPRODUCT((BkRoom=W$2)*(BkDate=SelDate)*(BkStartMin&lt;=$AE$3)*(BkEndMin&gt;$AE$3)*(W$2&lt;&gt;""))</f>
        <v>0</v>
      </c>
      <c r="X21" s="96" t="n">
        <f aca="false">SUMPRODUCT((BkRoom=X$2)*(BkDate=SelDate)*(BkStartMin&lt;=$AE$3)*(BkEndMin&gt;$AE$3)*(X$2&lt;&gt;""))</f>
        <v>0</v>
      </c>
      <c r="Z21" s="98" t="n">
        <f aca="false">IF(Bookings!$C21="","",IFERROR(INDEX(RoomSeats,MATCH(Bookings!$C21,RoomList,0)),""))</f>
        <v>2</v>
      </c>
      <c r="AA21" s="98" t="n">
        <f aca="false">IF(Bookings!$D21="",-1,ROUND(Bookings!$D21*1440,0))</f>
        <v>570</v>
      </c>
      <c r="AB21" s="98" t="n">
        <f aca="false">IF(Bookings!$E21="",-1,ROUND(Bookings!$E21*1440,0))</f>
        <v>600</v>
      </c>
    </row>
    <row r="22" customFormat="false" ht="15" hidden="false" customHeight="false" outlineLevel="0" collapsed="false">
      <c r="A22" s="97" t="n">
        <f aca="false">$AE4/1440</f>
        <v>0.395833333333333</v>
      </c>
      <c r="B22" s="96" t="n">
        <f aca="false">SUMPRODUCT((BkRoom=SelRoom)*(BkDate=B$2)*(BkStartMin&lt;=$AE$4)*(BkEndMin&gt;$AE$4))</f>
        <v>0</v>
      </c>
      <c r="C22" s="96" t="n">
        <f aca="false">SUMPRODUCT((BkRoom=SelRoom)*(BkDate=C$2)*(BkStartMin&lt;=$AE$4)*(BkEndMin&gt;$AE$4))</f>
        <v>0</v>
      </c>
      <c r="D22" s="96" t="n">
        <f aca="false">SUMPRODUCT((BkRoom=SelRoom)*(BkDate=D$2)*(BkStartMin&lt;=$AE$4)*(BkEndMin&gt;$AE$4))</f>
        <v>0</v>
      </c>
      <c r="E22" s="96" t="n">
        <f aca="false">SUMPRODUCT((BkRoom=SelRoom)*(BkDate=E$2)*(BkStartMin&lt;=$AE$4)*(BkEndMin&gt;$AE$4))</f>
        <v>1</v>
      </c>
      <c r="F22" s="96" t="n">
        <f aca="false">SUMPRODUCT((BkRoom=SelRoom)*(BkDate=F$2)*(BkStartMin&lt;=$AE$4)*(BkEndMin&gt;$AE$4))</f>
        <v>0</v>
      </c>
      <c r="G22" s="96" t="n">
        <f aca="false">SUMPRODUCT((BkRoom=SelRoom)*(BkDate=G$2)*(BkStartMin&lt;=$AE$4)*(BkEndMin&gt;$AE$4))</f>
        <v>0</v>
      </c>
      <c r="H22" s="96" t="n">
        <f aca="false">SUMPRODUCT((BkRoom=SelRoom)*(BkDate=H$2)*(BkStartMin&lt;=$AE$4)*(BkEndMin&gt;$AE$4))</f>
        <v>1</v>
      </c>
      <c r="I22" s="96" t="n">
        <f aca="false">SUMPRODUCT((BkRoom=SelRoom)*(BkDate=I$2)*(BkStartMin&lt;=$AE$4)*(BkEndMin&gt;$AE$4))</f>
        <v>1</v>
      </c>
      <c r="J22" s="96" t="n">
        <f aca="false">SUMPRODUCT((BkRoom=SelRoom)*(BkDate=J$2)*(BkStartMin&lt;=$AE$4)*(BkEndMin&gt;$AE$4))</f>
        <v>0</v>
      </c>
      <c r="K22" s="96" t="n">
        <f aca="false">SUMPRODUCT((BkRoom=SelRoom)*(BkDate=K$2)*(BkStartMin&lt;=$AE$4)*(BkEndMin&gt;$AE$4))</f>
        <v>0</v>
      </c>
      <c r="M22" s="96" t="n">
        <f aca="false">SUMPRODUCT((BkRoom=M$2)*(BkDate=SelDate)*(BkStartMin&lt;=$AE$4)*(BkEndMin&gt;$AE$4)*(M$2&lt;&gt;""))</f>
        <v>0</v>
      </c>
      <c r="N22" s="96" t="n">
        <f aca="false">SUMPRODUCT((BkRoom=N$2)*(BkDate=SelDate)*(BkStartMin&lt;=$AE$4)*(BkEndMin&gt;$AE$4)*(N$2&lt;&gt;""))</f>
        <v>0</v>
      </c>
      <c r="O22" s="96" t="n">
        <f aca="false">SUMPRODUCT((BkRoom=O$2)*(BkDate=SelDate)*(BkStartMin&lt;=$AE$4)*(BkEndMin&gt;$AE$4)*(O$2&lt;&gt;""))</f>
        <v>0</v>
      </c>
      <c r="P22" s="96" t="n">
        <f aca="false">SUMPRODUCT((BkRoom=P$2)*(BkDate=SelDate)*(BkStartMin&lt;=$AE$4)*(BkEndMin&gt;$AE$4)*(P$2&lt;&gt;""))</f>
        <v>0</v>
      </c>
      <c r="Q22" s="96" t="n">
        <f aca="false">SUMPRODUCT((BkRoom=Q$2)*(BkDate=SelDate)*(BkStartMin&lt;=$AE$4)*(BkEndMin&gt;$AE$4)*(Q$2&lt;&gt;""))</f>
        <v>1</v>
      </c>
      <c r="R22" s="96" t="n">
        <f aca="false">SUMPRODUCT((BkRoom=R$2)*(BkDate=SelDate)*(BkStartMin&lt;=$AE$4)*(BkEndMin&gt;$AE$4)*(R$2&lt;&gt;""))</f>
        <v>1</v>
      </c>
      <c r="S22" s="96" t="n">
        <f aca="false">SUMPRODUCT((BkRoom=S$2)*(BkDate=SelDate)*(BkStartMin&lt;=$AE$4)*(BkEndMin&gt;$AE$4)*(S$2&lt;&gt;""))</f>
        <v>0</v>
      </c>
      <c r="T22" s="96" t="n">
        <f aca="false">SUMPRODUCT((BkRoom=T$2)*(BkDate=SelDate)*(BkStartMin&lt;=$AE$4)*(BkEndMin&gt;$AE$4)*(T$2&lt;&gt;""))</f>
        <v>0</v>
      </c>
      <c r="U22" s="96" t="n">
        <f aca="false">SUMPRODUCT((BkRoom=U$2)*(BkDate=SelDate)*(BkStartMin&lt;=$AE$4)*(BkEndMin&gt;$AE$4)*(U$2&lt;&gt;""))</f>
        <v>0</v>
      </c>
      <c r="V22" s="96" t="n">
        <f aca="false">SUMPRODUCT((BkRoom=V$2)*(BkDate=SelDate)*(BkStartMin&lt;=$AE$4)*(BkEndMin&gt;$AE$4)*(V$2&lt;&gt;""))</f>
        <v>0</v>
      </c>
      <c r="W22" s="96" t="n">
        <f aca="false">SUMPRODUCT((BkRoom=W$2)*(BkDate=SelDate)*(BkStartMin&lt;=$AE$4)*(BkEndMin&gt;$AE$4)*(W$2&lt;&gt;""))</f>
        <v>0</v>
      </c>
      <c r="X22" s="96" t="n">
        <f aca="false">SUMPRODUCT((BkRoom=X$2)*(BkDate=SelDate)*(BkStartMin&lt;=$AE$4)*(BkEndMin&gt;$AE$4)*(X$2&lt;&gt;""))</f>
        <v>0</v>
      </c>
      <c r="Z22" s="98" t="n">
        <f aca="false">IF(Bookings!$C22="","",IFERROR(INDEX(RoomSeats,MATCH(Bookings!$C22,RoomList,0)),""))</f>
        <v>12</v>
      </c>
      <c r="AA22" s="98" t="n">
        <f aca="false">IF(Bookings!$D22="",-1,ROUND(Bookings!$D22*1440,0))</f>
        <v>600</v>
      </c>
      <c r="AB22" s="98" t="n">
        <f aca="false">IF(Bookings!$E22="",-1,ROUND(Bookings!$E22*1440,0))</f>
        <v>690</v>
      </c>
    </row>
    <row r="23" customFormat="false" ht="15" hidden="false" customHeight="false" outlineLevel="0" collapsed="false">
      <c r="A23" s="97" t="n">
        <f aca="false">$AE5/1440</f>
        <v>0.416666666666667</v>
      </c>
      <c r="B23" s="96" t="n">
        <f aca="false">SUMPRODUCT((BkRoom=SelRoom)*(BkDate=B$2)*(BkStartMin&lt;=$AE$5)*(BkEndMin&gt;$AE$5))</f>
        <v>0</v>
      </c>
      <c r="C23" s="96" t="n">
        <f aca="false">SUMPRODUCT((BkRoom=SelRoom)*(BkDate=C$2)*(BkStartMin&lt;=$AE$5)*(BkEndMin&gt;$AE$5))</f>
        <v>1</v>
      </c>
      <c r="D23" s="96" t="n">
        <f aca="false">SUMPRODUCT((BkRoom=SelRoom)*(BkDate=D$2)*(BkStartMin&lt;=$AE$5)*(BkEndMin&gt;$AE$5))</f>
        <v>0</v>
      </c>
      <c r="E23" s="96" t="n">
        <f aca="false">SUMPRODUCT((BkRoom=SelRoom)*(BkDate=E$2)*(BkStartMin&lt;=$AE$5)*(BkEndMin&gt;$AE$5))</f>
        <v>0</v>
      </c>
      <c r="F23" s="96" t="n">
        <f aca="false">SUMPRODUCT((BkRoom=SelRoom)*(BkDate=F$2)*(BkStartMin&lt;=$AE$5)*(BkEndMin&gt;$AE$5))</f>
        <v>0</v>
      </c>
      <c r="G23" s="96" t="n">
        <f aca="false">SUMPRODUCT((BkRoom=SelRoom)*(BkDate=G$2)*(BkStartMin&lt;=$AE$5)*(BkEndMin&gt;$AE$5))</f>
        <v>0</v>
      </c>
      <c r="H23" s="96" t="n">
        <f aca="false">SUMPRODUCT((BkRoom=SelRoom)*(BkDate=H$2)*(BkStartMin&lt;=$AE$5)*(BkEndMin&gt;$AE$5))</f>
        <v>1</v>
      </c>
      <c r="I23" s="96" t="n">
        <f aca="false">SUMPRODUCT((BkRoom=SelRoom)*(BkDate=I$2)*(BkStartMin&lt;=$AE$5)*(BkEndMin&gt;$AE$5))</f>
        <v>1</v>
      </c>
      <c r="J23" s="96" t="n">
        <f aca="false">SUMPRODUCT((BkRoom=SelRoom)*(BkDate=J$2)*(BkStartMin&lt;=$AE$5)*(BkEndMin&gt;$AE$5))</f>
        <v>1</v>
      </c>
      <c r="K23" s="96" t="n">
        <f aca="false">SUMPRODUCT((BkRoom=SelRoom)*(BkDate=K$2)*(BkStartMin&lt;=$AE$5)*(BkEndMin&gt;$AE$5))</f>
        <v>0</v>
      </c>
      <c r="M23" s="96" t="n">
        <f aca="false">SUMPRODUCT((BkRoom=M$2)*(BkDate=SelDate)*(BkStartMin&lt;=$AE$5)*(BkEndMin&gt;$AE$5)*(M$2&lt;&gt;""))</f>
        <v>0</v>
      </c>
      <c r="N23" s="96" t="n">
        <f aca="false">SUMPRODUCT((BkRoom=N$2)*(BkDate=SelDate)*(BkStartMin&lt;=$AE$5)*(BkEndMin&gt;$AE$5)*(N$2&lt;&gt;""))</f>
        <v>0</v>
      </c>
      <c r="O23" s="96" t="n">
        <f aca="false">SUMPRODUCT((BkRoom=O$2)*(BkDate=SelDate)*(BkStartMin&lt;=$AE$5)*(BkEndMin&gt;$AE$5)*(O$2&lt;&gt;""))</f>
        <v>0</v>
      </c>
      <c r="P23" s="96" t="n">
        <f aca="false">SUMPRODUCT((BkRoom=P$2)*(BkDate=SelDate)*(BkStartMin&lt;=$AE$5)*(BkEndMin&gt;$AE$5)*(P$2&lt;&gt;""))</f>
        <v>0</v>
      </c>
      <c r="Q23" s="96" t="n">
        <f aca="false">SUMPRODUCT((BkRoom=Q$2)*(BkDate=SelDate)*(BkStartMin&lt;=$AE$5)*(BkEndMin&gt;$AE$5)*(Q$2&lt;&gt;""))</f>
        <v>0</v>
      </c>
      <c r="R23" s="96" t="n">
        <f aca="false">SUMPRODUCT((BkRoom=R$2)*(BkDate=SelDate)*(BkStartMin&lt;=$AE$5)*(BkEndMin&gt;$AE$5)*(R$2&lt;&gt;""))</f>
        <v>1</v>
      </c>
      <c r="S23" s="96" t="n">
        <f aca="false">SUMPRODUCT((BkRoom=S$2)*(BkDate=SelDate)*(BkStartMin&lt;=$AE$5)*(BkEndMin&gt;$AE$5)*(S$2&lt;&gt;""))</f>
        <v>0</v>
      </c>
      <c r="T23" s="96" t="n">
        <f aca="false">SUMPRODUCT((BkRoom=T$2)*(BkDate=SelDate)*(BkStartMin&lt;=$AE$5)*(BkEndMin&gt;$AE$5)*(T$2&lt;&gt;""))</f>
        <v>0</v>
      </c>
      <c r="U23" s="96" t="n">
        <f aca="false">SUMPRODUCT((BkRoom=U$2)*(BkDate=SelDate)*(BkStartMin&lt;=$AE$5)*(BkEndMin&gt;$AE$5)*(U$2&lt;&gt;""))</f>
        <v>0</v>
      </c>
      <c r="V23" s="96" t="n">
        <f aca="false">SUMPRODUCT((BkRoom=V$2)*(BkDate=SelDate)*(BkStartMin&lt;=$AE$5)*(BkEndMin&gt;$AE$5)*(V$2&lt;&gt;""))</f>
        <v>0</v>
      </c>
      <c r="W23" s="96" t="n">
        <f aca="false">SUMPRODUCT((BkRoom=W$2)*(BkDate=SelDate)*(BkStartMin&lt;=$AE$5)*(BkEndMin&gt;$AE$5)*(W$2&lt;&gt;""))</f>
        <v>0</v>
      </c>
      <c r="X23" s="96" t="n">
        <f aca="false">SUMPRODUCT((BkRoom=X$2)*(BkDate=SelDate)*(BkStartMin&lt;=$AE$5)*(BkEndMin&gt;$AE$5)*(X$2&lt;&gt;""))</f>
        <v>0</v>
      </c>
      <c r="Z23" s="98" t="n">
        <f aca="false">IF(Bookings!$C23="","",IFERROR(INDEX(RoomSeats,MATCH(Bookings!$C23,RoomList,0)),""))</f>
        <v>8</v>
      </c>
      <c r="AA23" s="98" t="n">
        <f aca="false">IF(Bookings!$D23="",-1,ROUND(Bookings!$D23*1440,0))</f>
        <v>600</v>
      </c>
      <c r="AB23" s="98" t="n">
        <f aca="false">IF(Bookings!$E23="",-1,ROUND(Bookings!$E23*1440,0))</f>
        <v>660</v>
      </c>
    </row>
    <row r="24" customFormat="false" ht="15" hidden="false" customHeight="false" outlineLevel="0" collapsed="false">
      <c r="A24" s="97" t="n">
        <f aca="false">$AE6/1440</f>
        <v>0.4375</v>
      </c>
      <c r="B24" s="96" t="n">
        <f aca="false">SUMPRODUCT((BkRoom=SelRoom)*(BkDate=B$2)*(BkStartMin&lt;=$AE$6)*(BkEndMin&gt;$AE$6))</f>
        <v>0</v>
      </c>
      <c r="C24" s="96" t="n">
        <f aca="false">SUMPRODUCT((BkRoom=SelRoom)*(BkDate=C$2)*(BkStartMin&lt;=$AE$6)*(BkEndMin&gt;$AE$6))</f>
        <v>1</v>
      </c>
      <c r="D24" s="96" t="n">
        <f aca="false">SUMPRODUCT((BkRoom=SelRoom)*(BkDate=D$2)*(BkStartMin&lt;=$AE$6)*(BkEndMin&gt;$AE$6))</f>
        <v>1</v>
      </c>
      <c r="E24" s="96" t="n">
        <f aca="false">SUMPRODUCT((BkRoom=SelRoom)*(BkDate=E$2)*(BkStartMin&lt;=$AE$6)*(BkEndMin&gt;$AE$6))</f>
        <v>1</v>
      </c>
      <c r="F24" s="96" t="n">
        <f aca="false">SUMPRODUCT((BkRoom=SelRoom)*(BkDate=F$2)*(BkStartMin&lt;=$AE$6)*(BkEndMin&gt;$AE$6))</f>
        <v>0</v>
      </c>
      <c r="G24" s="96" t="n">
        <f aca="false">SUMPRODUCT((BkRoom=SelRoom)*(BkDate=G$2)*(BkStartMin&lt;=$AE$6)*(BkEndMin&gt;$AE$6))</f>
        <v>0</v>
      </c>
      <c r="H24" s="96" t="n">
        <f aca="false">SUMPRODUCT((BkRoom=SelRoom)*(BkDate=H$2)*(BkStartMin&lt;=$AE$6)*(BkEndMin&gt;$AE$6))</f>
        <v>0</v>
      </c>
      <c r="I24" s="96" t="n">
        <f aca="false">SUMPRODUCT((BkRoom=SelRoom)*(BkDate=I$2)*(BkStartMin&lt;=$AE$6)*(BkEndMin&gt;$AE$6))</f>
        <v>0</v>
      </c>
      <c r="J24" s="96" t="n">
        <f aca="false">SUMPRODUCT((BkRoom=SelRoom)*(BkDate=J$2)*(BkStartMin&lt;=$AE$6)*(BkEndMin&gt;$AE$6))</f>
        <v>1</v>
      </c>
      <c r="K24" s="96" t="n">
        <f aca="false">SUMPRODUCT((BkRoom=SelRoom)*(BkDate=K$2)*(BkStartMin&lt;=$AE$6)*(BkEndMin&gt;$AE$6))</f>
        <v>1</v>
      </c>
      <c r="M24" s="96" t="n">
        <f aca="false">SUMPRODUCT((BkRoom=M$2)*(BkDate=SelDate)*(BkStartMin&lt;=$AE$6)*(BkEndMin&gt;$AE$6)*(M$2&lt;&gt;""))</f>
        <v>0</v>
      </c>
      <c r="N24" s="96" t="n">
        <f aca="false">SUMPRODUCT((BkRoom=N$2)*(BkDate=SelDate)*(BkStartMin&lt;=$AE$6)*(BkEndMin&gt;$AE$6)*(N$2&lt;&gt;""))</f>
        <v>1</v>
      </c>
      <c r="O24" s="96" t="n">
        <f aca="false">SUMPRODUCT((BkRoom=O$2)*(BkDate=SelDate)*(BkStartMin&lt;=$AE$6)*(BkEndMin&gt;$AE$6)*(O$2&lt;&gt;""))</f>
        <v>0</v>
      </c>
      <c r="P24" s="96" t="n">
        <f aca="false">SUMPRODUCT((BkRoom=P$2)*(BkDate=SelDate)*(BkStartMin&lt;=$AE$6)*(BkEndMin&gt;$AE$6)*(P$2&lt;&gt;""))</f>
        <v>0</v>
      </c>
      <c r="Q24" s="96" t="n">
        <f aca="false">SUMPRODUCT((BkRoom=Q$2)*(BkDate=SelDate)*(BkStartMin&lt;=$AE$6)*(BkEndMin&gt;$AE$6)*(Q$2&lt;&gt;""))</f>
        <v>1</v>
      </c>
      <c r="R24" s="96" t="n">
        <f aca="false">SUMPRODUCT((BkRoom=R$2)*(BkDate=SelDate)*(BkStartMin&lt;=$AE$6)*(BkEndMin&gt;$AE$6)*(R$2&lt;&gt;""))</f>
        <v>1</v>
      </c>
      <c r="S24" s="96" t="n">
        <f aca="false">SUMPRODUCT((BkRoom=S$2)*(BkDate=SelDate)*(BkStartMin&lt;=$AE$6)*(BkEndMin&gt;$AE$6)*(S$2&lt;&gt;""))</f>
        <v>0</v>
      </c>
      <c r="T24" s="96" t="n">
        <f aca="false">SUMPRODUCT((BkRoom=T$2)*(BkDate=SelDate)*(BkStartMin&lt;=$AE$6)*(BkEndMin&gt;$AE$6)*(T$2&lt;&gt;""))</f>
        <v>0</v>
      </c>
      <c r="U24" s="96" t="n">
        <f aca="false">SUMPRODUCT((BkRoom=U$2)*(BkDate=SelDate)*(BkStartMin&lt;=$AE$6)*(BkEndMin&gt;$AE$6)*(U$2&lt;&gt;""))</f>
        <v>0</v>
      </c>
      <c r="V24" s="96" t="n">
        <f aca="false">SUMPRODUCT((BkRoom=V$2)*(BkDate=SelDate)*(BkStartMin&lt;=$AE$6)*(BkEndMin&gt;$AE$6)*(V$2&lt;&gt;""))</f>
        <v>0</v>
      </c>
      <c r="W24" s="96" t="n">
        <f aca="false">SUMPRODUCT((BkRoom=W$2)*(BkDate=SelDate)*(BkStartMin&lt;=$AE$6)*(BkEndMin&gt;$AE$6)*(W$2&lt;&gt;""))</f>
        <v>0</v>
      </c>
      <c r="X24" s="96" t="n">
        <f aca="false">SUMPRODUCT((BkRoom=X$2)*(BkDate=SelDate)*(BkStartMin&lt;=$AE$6)*(BkEndMin&gt;$AE$6)*(X$2&lt;&gt;""))</f>
        <v>0</v>
      </c>
      <c r="Z24" s="98" t="n">
        <f aca="false">IF(Bookings!$C24="","",IFERROR(INDEX(RoomSeats,MATCH(Bookings!$C24,RoomList,0)),""))</f>
        <v>4</v>
      </c>
      <c r="AA24" s="98" t="n">
        <f aca="false">IF(Bookings!$D24="",-1,ROUND(Bookings!$D24*1440,0))</f>
        <v>630</v>
      </c>
      <c r="AB24" s="98" t="n">
        <f aca="false">IF(Bookings!$E24="",-1,ROUND(Bookings!$E24*1440,0))</f>
        <v>690</v>
      </c>
    </row>
    <row r="25" customFormat="false" ht="15" hidden="false" customHeight="false" outlineLevel="0" collapsed="false">
      <c r="A25" s="97" t="n">
        <f aca="false">$AE7/1440</f>
        <v>0.458333333333333</v>
      </c>
      <c r="B25" s="96" t="n">
        <f aca="false">SUMPRODUCT((BkRoom=SelRoom)*(BkDate=B$2)*(BkStartMin&lt;=$AE$7)*(BkEndMin&gt;$AE$7))</f>
        <v>0</v>
      </c>
      <c r="C25" s="96" t="n">
        <f aca="false">SUMPRODUCT((BkRoom=SelRoom)*(BkDate=C$2)*(BkStartMin&lt;=$AE$7)*(BkEndMin&gt;$AE$7))</f>
        <v>1</v>
      </c>
      <c r="D25" s="96" t="n">
        <f aca="false">SUMPRODUCT((BkRoom=SelRoom)*(BkDate=D$2)*(BkStartMin&lt;=$AE$7)*(BkEndMin&gt;$AE$7))</f>
        <v>1</v>
      </c>
      <c r="E25" s="96" t="n">
        <f aca="false">SUMPRODUCT((BkRoom=SelRoom)*(BkDate=E$2)*(BkStartMin&lt;=$AE$7)*(BkEndMin&gt;$AE$7))</f>
        <v>0</v>
      </c>
      <c r="F25" s="96" t="n">
        <f aca="false">SUMPRODUCT((BkRoom=SelRoom)*(BkDate=F$2)*(BkStartMin&lt;=$AE$7)*(BkEndMin&gt;$AE$7))</f>
        <v>0</v>
      </c>
      <c r="G25" s="96" t="n">
        <f aca="false">SUMPRODUCT((BkRoom=SelRoom)*(BkDate=G$2)*(BkStartMin&lt;=$AE$7)*(BkEndMin&gt;$AE$7))</f>
        <v>1</v>
      </c>
      <c r="H25" s="96" t="n">
        <f aca="false">SUMPRODUCT((BkRoom=SelRoom)*(BkDate=H$2)*(BkStartMin&lt;=$AE$7)*(BkEndMin&gt;$AE$7))</f>
        <v>0</v>
      </c>
      <c r="I25" s="96" t="n">
        <f aca="false">SUMPRODUCT((BkRoom=SelRoom)*(BkDate=I$2)*(BkStartMin&lt;=$AE$7)*(BkEndMin&gt;$AE$7))</f>
        <v>0</v>
      </c>
      <c r="J25" s="96" t="n">
        <f aca="false">SUMPRODUCT((BkRoom=SelRoom)*(BkDate=J$2)*(BkStartMin&lt;=$AE$7)*(BkEndMin&gt;$AE$7))</f>
        <v>1</v>
      </c>
      <c r="K25" s="96" t="n">
        <f aca="false">SUMPRODUCT((BkRoom=SelRoom)*(BkDate=K$2)*(BkStartMin&lt;=$AE$7)*(BkEndMin&gt;$AE$7))</f>
        <v>1</v>
      </c>
      <c r="M25" s="96" t="n">
        <f aca="false">SUMPRODUCT((BkRoom=M$2)*(BkDate=SelDate)*(BkStartMin&lt;=$AE$7)*(BkEndMin&gt;$AE$7)*(M$2&lt;&gt;""))</f>
        <v>0</v>
      </c>
      <c r="N25" s="96" t="n">
        <f aca="false">SUMPRODUCT((BkRoom=N$2)*(BkDate=SelDate)*(BkStartMin&lt;=$AE$7)*(BkEndMin&gt;$AE$7)*(N$2&lt;&gt;""))</f>
        <v>1</v>
      </c>
      <c r="O25" s="96" t="n">
        <f aca="false">SUMPRODUCT((BkRoom=O$2)*(BkDate=SelDate)*(BkStartMin&lt;=$AE$7)*(BkEndMin&gt;$AE$7)*(O$2&lt;&gt;""))</f>
        <v>0</v>
      </c>
      <c r="P25" s="96" t="n">
        <f aca="false">SUMPRODUCT((BkRoom=P$2)*(BkDate=SelDate)*(BkStartMin&lt;=$AE$7)*(BkEndMin&gt;$AE$7)*(P$2&lt;&gt;""))</f>
        <v>1</v>
      </c>
      <c r="Q25" s="96" t="n">
        <f aca="false">SUMPRODUCT((BkRoom=Q$2)*(BkDate=SelDate)*(BkStartMin&lt;=$AE$7)*(BkEndMin&gt;$AE$7)*(Q$2&lt;&gt;""))</f>
        <v>0</v>
      </c>
      <c r="R25" s="96" t="n">
        <f aca="false">SUMPRODUCT((BkRoom=R$2)*(BkDate=SelDate)*(BkStartMin&lt;=$AE$7)*(BkEndMin&gt;$AE$7)*(R$2&lt;&gt;""))</f>
        <v>0</v>
      </c>
      <c r="S25" s="96" t="n">
        <f aca="false">SUMPRODUCT((BkRoom=S$2)*(BkDate=SelDate)*(BkStartMin&lt;=$AE$7)*(BkEndMin&gt;$AE$7)*(S$2&lt;&gt;""))</f>
        <v>0</v>
      </c>
      <c r="T25" s="96" t="n">
        <f aca="false">SUMPRODUCT((BkRoom=T$2)*(BkDate=SelDate)*(BkStartMin&lt;=$AE$7)*(BkEndMin&gt;$AE$7)*(T$2&lt;&gt;""))</f>
        <v>0</v>
      </c>
      <c r="U25" s="96" t="n">
        <f aca="false">SUMPRODUCT((BkRoom=U$2)*(BkDate=SelDate)*(BkStartMin&lt;=$AE$7)*(BkEndMin&gt;$AE$7)*(U$2&lt;&gt;""))</f>
        <v>0</v>
      </c>
      <c r="V25" s="96" t="n">
        <f aca="false">SUMPRODUCT((BkRoom=V$2)*(BkDate=SelDate)*(BkStartMin&lt;=$AE$7)*(BkEndMin&gt;$AE$7)*(V$2&lt;&gt;""))</f>
        <v>0</v>
      </c>
      <c r="W25" s="96" t="n">
        <f aca="false">SUMPRODUCT((BkRoom=W$2)*(BkDate=SelDate)*(BkStartMin&lt;=$AE$7)*(BkEndMin&gt;$AE$7)*(W$2&lt;&gt;""))</f>
        <v>0</v>
      </c>
      <c r="X25" s="96" t="n">
        <f aca="false">SUMPRODUCT((BkRoom=X$2)*(BkDate=SelDate)*(BkStartMin&lt;=$AE$7)*(BkEndMin&gt;$AE$7)*(X$2&lt;&gt;""))</f>
        <v>0</v>
      </c>
      <c r="Z25" s="98" t="n">
        <f aca="false">IF(Bookings!$C25="","",IFERROR(INDEX(RoomSeats,MATCH(Bookings!$C25,RoomList,0)),""))</f>
        <v>14</v>
      </c>
      <c r="AA25" s="98" t="n">
        <f aca="false">IF(Bookings!$D25="",-1,ROUND(Bookings!$D25*1440,0))</f>
        <v>660</v>
      </c>
      <c r="AB25" s="98" t="n">
        <f aca="false">IF(Bookings!$E25="",-1,ROUND(Bookings!$E25*1440,0))</f>
        <v>750</v>
      </c>
    </row>
    <row r="26" customFormat="false" ht="15" hidden="false" customHeight="false" outlineLevel="0" collapsed="false">
      <c r="A26" s="97" t="n">
        <f aca="false">$AE8/1440</f>
        <v>0.479166666666667</v>
      </c>
      <c r="B26" s="96" t="n">
        <f aca="false">SUMPRODUCT((BkRoom=SelRoom)*(BkDate=B$2)*(BkStartMin&lt;=$AE$8)*(BkEndMin&gt;$AE$8))</f>
        <v>0</v>
      </c>
      <c r="C26" s="96" t="n">
        <f aca="false">SUMPRODUCT((BkRoom=SelRoom)*(BkDate=C$2)*(BkStartMin&lt;=$AE$8)*(BkEndMin&gt;$AE$8))</f>
        <v>0</v>
      </c>
      <c r="D26" s="96" t="n">
        <f aca="false">SUMPRODUCT((BkRoom=SelRoom)*(BkDate=D$2)*(BkStartMin&lt;=$AE$8)*(BkEndMin&gt;$AE$8))</f>
        <v>1</v>
      </c>
      <c r="E26" s="96" t="n">
        <f aca="false">SUMPRODUCT((BkRoom=SelRoom)*(BkDate=E$2)*(BkStartMin&lt;=$AE$8)*(BkEndMin&gt;$AE$8))</f>
        <v>0</v>
      </c>
      <c r="F26" s="96" t="n">
        <f aca="false">SUMPRODUCT((BkRoom=SelRoom)*(BkDate=F$2)*(BkStartMin&lt;=$AE$8)*(BkEndMin&gt;$AE$8))</f>
        <v>0</v>
      </c>
      <c r="G26" s="96" t="n">
        <f aca="false">SUMPRODUCT((BkRoom=SelRoom)*(BkDate=G$2)*(BkStartMin&lt;=$AE$8)*(BkEndMin&gt;$AE$8))</f>
        <v>1</v>
      </c>
      <c r="H26" s="96" t="n">
        <f aca="false">SUMPRODUCT((BkRoom=SelRoom)*(BkDate=H$2)*(BkStartMin&lt;=$AE$8)*(BkEndMin&gt;$AE$8))</f>
        <v>0</v>
      </c>
      <c r="I26" s="96" t="n">
        <f aca="false">SUMPRODUCT((BkRoom=SelRoom)*(BkDate=I$2)*(BkStartMin&lt;=$AE$8)*(BkEndMin&gt;$AE$8))</f>
        <v>1</v>
      </c>
      <c r="J26" s="96" t="n">
        <f aca="false">SUMPRODUCT((BkRoom=SelRoom)*(BkDate=J$2)*(BkStartMin&lt;=$AE$8)*(BkEndMin&gt;$AE$8))</f>
        <v>0</v>
      </c>
      <c r="K26" s="96" t="n">
        <f aca="false">SUMPRODUCT((BkRoom=SelRoom)*(BkDate=K$2)*(BkStartMin&lt;=$AE$8)*(BkEndMin&gt;$AE$8))</f>
        <v>0</v>
      </c>
      <c r="M26" s="96" t="n">
        <f aca="false">SUMPRODUCT((BkRoom=M$2)*(BkDate=SelDate)*(BkStartMin&lt;=$AE$8)*(BkEndMin&gt;$AE$8)*(M$2&lt;&gt;""))</f>
        <v>0</v>
      </c>
      <c r="N26" s="96" t="n">
        <f aca="false">SUMPRODUCT((BkRoom=N$2)*(BkDate=SelDate)*(BkStartMin&lt;=$AE$8)*(BkEndMin&gt;$AE$8)*(N$2&lt;&gt;""))</f>
        <v>0</v>
      </c>
      <c r="O26" s="96" t="n">
        <f aca="false">SUMPRODUCT((BkRoom=O$2)*(BkDate=SelDate)*(BkStartMin&lt;=$AE$8)*(BkEndMin&gt;$AE$8)*(O$2&lt;&gt;""))</f>
        <v>0</v>
      </c>
      <c r="P26" s="96" t="n">
        <f aca="false">SUMPRODUCT((BkRoom=P$2)*(BkDate=SelDate)*(BkStartMin&lt;=$AE$8)*(BkEndMin&gt;$AE$8)*(P$2&lt;&gt;""))</f>
        <v>1</v>
      </c>
      <c r="Q26" s="96" t="n">
        <f aca="false">SUMPRODUCT((BkRoom=Q$2)*(BkDate=SelDate)*(BkStartMin&lt;=$AE$8)*(BkEndMin&gt;$AE$8)*(Q$2&lt;&gt;""))</f>
        <v>0</v>
      </c>
      <c r="R26" s="96" t="n">
        <f aca="false">SUMPRODUCT((BkRoom=R$2)*(BkDate=SelDate)*(BkStartMin&lt;=$AE$8)*(BkEndMin&gt;$AE$8)*(R$2&lt;&gt;""))</f>
        <v>0</v>
      </c>
      <c r="S26" s="96" t="n">
        <f aca="false">SUMPRODUCT((BkRoom=S$2)*(BkDate=SelDate)*(BkStartMin&lt;=$AE$8)*(BkEndMin&gt;$AE$8)*(S$2&lt;&gt;""))</f>
        <v>0</v>
      </c>
      <c r="T26" s="96" t="n">
        <f aca="false">SUMPRODUCT((BkRoom=T$2)*(BkDate=SelDate)*(BkStartMin&lt;=$AE$8)*(BkEndMin&gt;$AE$8)*(T$2&lt;&gt;""))</f>
        <v>0</v>
      </c>
      <c r="U26" s="96" t="n">
        <f aca="false">SUMPRODUCT((BkRoom=U$2)*(BkDate=SelDate)*(BkStartMin&lt;=$AE$8)*(BkEndMin&gt;$AE$8)*(U$2&lt;&gt;""))</f>
        <v>0</v>
      </c>
      <c r="V26" s="96" t="n">
        <f aca="false">SUMPRODUCT((BkRoom=V$2)*(BkDate=SelDate)*(BkStartMin&lt;=$AE$8)*(BkEndMin&gt;$AE$8)*(V$2&lt;&gt;""))</f>
        <v>0</v>
      </c>
      <c r="W26" s="96" t="n">
        <f aca="false">SUMPRODUCT((BkRoom=W$2)*(BkDate=SelDate)*(BkStartMin&lt;=$AE$8)*(BkEndMin&gt;$AE$8)*(W$2&lt;&gt;""))</f>
        <v>0</v>
      </c>
      <c r="X26" s="96" t="n">
        <f aca="false">SUMPRODUCT((BkRoom=X$2)*(BkDate=SelDate)*(BkStartMin&lt;=$AE$8)*(BkEndMin&gt;$AE$8)*(X$2&lt;&gt;""))</f>
        <v>0</v>
      </c>
      <c r="Z26" s="98" t="n">
        <f aca="false">IF(Bookings!$C26="","",IFERROR(INDEX(RoomSeats,MATCH(Bookings!$C26,RoomList,0)),""))</f>
        <v>8</v>
      </c>
      <c r="AA26" s="98" t="n">
        <f aca="false">IF(Bookings!$D26="",-1,ROUND(Bookings!$D26*1440,0))</f>
        <v>690</v>
      </c>
      <c r="AB26" s="98" t="n">
        <f aca="false">IF(Bookings!$E26="",-1,ROUND(Bookings!$E26*1440,0))</f>
        <v>750</v>
      </c>
    </row>
    <row r="27" customFormat="false" ht="15" hidden="false" customHeight="false" outlineLevel="0" collapsed="false">
      <c r="A27" s="97" t="n">
        <f aca="false">$AE9/1440</f>
        <v>0.5</v>
      </c>
      <c r="B27" s="96" t="n">
        <f aca="false">SUMPRODUCT((BkRoom=SelRoom)*(BkDate=B$2)*(BkStartMin&lt;=$AE$9)*(BkEndMin&gt;$AE$9))</f>
        <v>0</v>
      </c>
      <c r="C27" s="96" t="n">
        <f aca="false">SUMPRODUCT((BkRoom=SelRoom)*(BkDate=C$2)*(BkStartMin&lt;=$AE$9)*(BkEndMin&gt;$AE$9))</f>
        <v>0</v>
      </c>
      <c r="D27" s="96" t="n">
        <f aca="false">SUMPRODUCT((BkRoom=SelRoom)*(BkDate=D$2)*(BkStartMin&lt;=$AE$9)*(BkEndMin&gt;$AE$9))</f>
        <v>0</v>
      </c>
      <c r="E27" s="96" t="n">
        <f aca="false">SUMPRODUCT((BkRoom=SelRoom)*(BkDate=E$2)*(BkStartMin&lt;=$AE$9)*(BkEndMin&gt;$AE$9))</f>
        <v>0</v>
      </c>
      <c r="F27" s="96" t="n">
        <f aca="false">SUMPRODUCT((BkRoom=SelRoom)*(BkDate=F$2)*(BkStartMin&lt;=$AE$9)*(BkEndMin&gt;$AE$9))</f>
        <v>0</v>
      </c>
      <c r="G27" s="96" t="n">
        <f aca="false">SUMPRODUCT((BkRoom=SelRoom)*(BkDate=G$2)*(BkStartMin&lt;=$AE$9)*(BkEndMin&gt;$AE$9))</f>
        <v>0</v>
      </c>
      <c r="H27" s="96" t="n">
        <f aca="false">SUMPRODUCT((BkRoom=SelRoom)*(BkDate=H$2)*(BkStartMin&lt;=$AE$9)*(BkEndMin&gt;$AE$9))</f>
        <v>0</v>
      </c>
      <c r="I27" s="96" t="n">
        <f aca="false">SUMPRODUCT((BkRoom=SelRoom)*(BkDate=I$2)*(BkStartMin&lt;=$AE$9)*(BkEndMin&gt;$AE$9))</f>
        <v>1</v>
      </c>
      <c r="J27" s="96" t="n">
        <f aca="false">SUMPRODUCT((BkRoom=SelRoom)*(BkDate=J$2)*(BkStartMin&lt;=$AE$9)*(BkEndMin&gt;$AE$9))</f>
        <v>0</v>
      </c>
      <c r="K27" s="96" t="n">
        <f aca="false">SUMPRODUCT((BkRoom=SelRoom)*(BkDate=K$2)*(BkStartMin&lt;=$AE$9)*(BkEndMin&gt;$AE$9))</f>
        <v>0</v>
      </c>
      <c r="M27" s="96" t="n">
        <f aca="false">SUMPRODUCT((BkRoom=M$2)*(BkDate=SelDate)*(BkStartMin&lt;=$AE$9)*(BkEndMin&gt;$AE$9)*(M$2&lt;&gt;""))</f>
        <v>0</v>
      </c>
      <c r="N27" s="96" t="n">
        <f aca="false">SUMPRODUCT((BkRoom=N$2)*(BkDate=SelDate)*(BkStartMin&lt;=$AE$9)*(BkEndMin&gt;$AE$9)*(N$2&lt;&gt;""))</f>
        <v>0</v>
      </c>
      <c r="O27" s="96" t="n">
        <f aca="false">SUMPRODUCT((BkRoom=O$2)*(BkDate=SelDate)*(BkStartMin&lt;=$AE$9)*(BkEndMin&gt;$AE$9)*(O$2&lt;&gt;""))</f>
        <v>0</v>
      </c>
      <c r="P27" s="96" t="n">
        <f aca="false">SUMPRODUCT((BkRoom=P$2)*(BkDate=SelDate)*(BkStartMin&lt;=$AE$9)*(BkEndMin&gt;$AE$9)*(P$2&lt;&gt;""))</f>
        <v>0</v>
      </c>
      <c r="Q27" s="96" t="n">
        <f aca="false">SUMPRODUCT((BkRoom=Q$2)*(BkDate=SelDate)*(BkStartMin&lt;=$AE$9)*(BkEndMin&gt;$AE$9)*(Q$2&lt;&gt;""))</f>
        <v>0</v>
      </c>
      <c r="R27" s="96" t="n">
        <f aca="false">SUMPRODUCT((BkRoom=R$2)*(BkDate=SelDate)*(BkStartMin&lt;=$AE$9)*(BkEndMin&gt;$AE$9)*(R$2&lt;&gt;""))</f>
        <v>1</v>
      </c>
      <c r="S27" s="96" t="n">
        <f aca="false">SUMPRODUCT((BkRoom=S$2)*(BkDate=SelDate)*(BkStartMin&lt;=$AE$9)*(BkEndMin&gt;$AE$9)*(S$2&lt;&gt;""))</f>
        <v>0</v>
      </c>
      <c r="T27" s="96" t="n">
        <f aca="false">SUMPRODUCT((BkRoom=T$2)*(BkDate=SelDate)*(BkStartMin&lt;=$AE$9)*(BkEndMin&gt;$AE$9)*(T$2&lt;&gt;""))</f>
        <v>0</v>
      </c>
      <c r="U27" s="96" t="n">
        <f aca="false">SUMPRODUCT((BkRoom=U$2)*(BkDate=SelDate)*(BkStartMin&lt;=$AE$9)*(BkEndMin&gt;$AE$9)*(U$2&lt;&gt;""))</f>
        <v>0</v>
      </c>
      <c r="V27" s="96" t="n">
        <f aca="false">SUMPRODUCT((BkRoom=V$2)*(BkDate=SelDate)*(BkStartMin&lt;=$AE$9)*(BkEndMin&gt;$AE$9)*(V$2&lt;&gt;""))</f>
        <v>0</v>
      </c>
      <c r="W27" s="96" t="n">
        <f aca="false">SUMPRODUCT((BkRoom=W$2)*(BkDate=SelDate)*(BkStartMin&lt;=$AE$9)*(BkEndMin&gt;$AE$9)*(W$2&lt;&gt;""))</f>
        <v>0</v>
      </c>
      <c r="X27" s="96" t="n">
        <f aca="false">SUMPRODUCT((BkRoom=X$2)*(BkDate=SelDate)*(BkStartMin&lt;=$AE$9)*(BkEndMin&gt;$AE$9)*(X$2&lt;&gt;""))</f>
        <v>0</v>
      </c>
      <c r="Z27" s="98" t="n">
        <f aca="false">IF(Bookings!$C27="","",IFERROR(INDEX(RoomSeats,MATCH(Bookings!$C27,RoomList,0)),""))</f>
        <v>2</v>
      </c>
      <c r="AA27" s="98" t="n">
        <f aca="false">IF(Bookings!$D27="",-1,ROUND(Bookings!$D27*1440,0))</f>
        <v>810</v>
      </c>
      <c r="AB27" s="98" t="n">
        <f aca="false">IF(Bookings!$E27="",-1,ROUND(Bookings!$E27*1440,0))</f>
        <v>870</v>
      </c>
    </row>
    <row r="28" customFormat="false" ht="15" hidden="false" customHeight="false" outlineLevel="0" collapsed="false">
      <c r="A28" s="97" t="n">
        <f aca="false">$AE10/1440</f>
        <v>0.520833333333333</v>
      </c>
      <c r="B28" s="96" t="n">
        <f aca="false">SUMPRODUCT((BkRoom=SelRoom)*(BkDate=B$2)*(BkStartMin&lt;=$AE$10)*(BkEndMin&gt;$AE$10))</f>
        <v>0</v>
      </c>
      <c r="C28" s="96" t="n">
        <f aca="false">SUMPRODUCT((BkRoom=SelRoom)*(BkDate=C$2)*(BkStartMin&lt;=$AE$10)*(BkEndMin&gt;$AE$10))</f>
        <v>0</v>
      </c>
      <c r="D28" s="96" t="n">
        <f aca="false">SUMPRODUCT((BkRoom=SelRoom)*(BkDate=D$2)*(BkStartMin&lt;=$AE$10)*(BkEndMin&gt;$AE$10))</f>
        <v>0</v>
      </c>
      <c r="E28" s="96" t="n">
        <f aca="false">SUMPRODUCT((BkRoom=SelRoom)*(BkDate=E$2)*(BkStartMin&lt;=$AE$10)*(BkEndMin&gt;$AE$10))</f>
        <v>0</v>
      </c>
      <c r="F28" s="96" t="n">
        <f aca="false">SUMPRODUCT((BkRoom=SelRoom)*(BkDate=F$2)*(BkStartMin&lt;=$AE$10)*(BkEndMin&gt;$AE$10))</f>
        <v>0</v>
      </c>
      <c r="G28" s="96" t="n">
        <f aca="false">SUMPRODUCT((BkRoom=SelRoom)*(BkDate=G$2)*(BkStartMin&lt;=$AE$10)*(BkEndMin&gt;$AE$10))</f>
        <v>0</v>
      </c>
      <c r="H28" s="96" t="n">
        <f aca="false">SUMPRODUCT((BkRoom=SelRoom)*(BkDate=H$2)*(BkStartMin&lt;=$AE$10)*(BkEndMin&gt;$AE$10))</f>
        <v>0</v>
      </c>
      <c r="I28" s="96" t="n">
        <f aca="false">SUMPRODUCT((BkRoom=SelRoom)*(BkDate=I$2)*(BkStartMin&lt;=$AE$10)*(BkEndMin&gt;$AE$10))</f>
        <v>0</v>
      </c>
      <c r="J28" s="96" t="n">
        <f aca="false">SUMPRODUCT((BkRoom=SelRoom)*(BkDate=J$2)*(BkStartMin&lt;=$AE$10)*(BkEndMin&gt;$AE$10))</f>
        <v>0</v>
      </c>
      <c r="K28" s="96" t="n">
        <f aca="false">SUMPRODUCT((BkRoom=SelRoom)*(BkDate=K$2)*(BkStartMin&lt;=$AE$10)*(BkEndMin&gt;$AE$10))</f>
        <v>0</v>
      </c>
      <c r="M28" s="96" t="n">
        <f aca="false">SUMPRODUCT((BkRoom=M$2)*(BkDate=SelDate)*(BkStartMin&lt;=$AE$10)*(BkEndMin&gt;$AE$10)*(M$2&lt;&gt;""))</f>
        <v>0</v>
      </c>
      <c r="N28" s="96" t="n">
        <f aca="false">SUMPRODUCT((BkRoom=N$2)*(BkDate=SelDate)*(BkStartMin&lt;=$AE$10)*(BkEndMin&gt;$AE$10)*(N$2&lt;&gt;""))</f>
        <v>0</v>
      </c>
      <c r="O28" s="96" t="n">
        <f aca="false">SUMPRODUCT((BkRoom=O$2)*(BkDate=SelDate)*(BkStartMin&lt;=$AE$10)*(BkEndMin&gt;$AE$10)*(O$2&lt;&gt;""))</f>
        <v>0</v>
      </c>
      <c r="P28" s="96" t="n">
        <f aca="false">SUMPRODUCT((BkRoom=P$2)*(BkDate=SelDate)*(BkStartMin&lt;=$AE$10)*(BkEndMin&gt;$AE$10)*(P$2&lt;&gt;""))</f>
        <v>0</v>
      </c>
      <c r="Q28" s="96" t="n">
        <f aca="false">SUMPRODUCT((BkRoom=Q$2)*(BkDate=SelDate)*(BkStartMin&lt;=$AE$10)*(BkEndMin&gt;$AE$10)*(Q$2&lt;&gt;""))</f>
        <v>0</v>
      </c>
      <c r="R28" s="96" t="n">
        <f aca="false">SUMPRODUCT((BkRoom=R$2)*(BkDate=SelDate)*(BkStartMin&lt;=$AE$10)*(BkEndMin&gt;$AE$10)*(R$2&lt;&gt;""))</f>
        <v>0</v>
      </c>
      <c r="S28" s="96" t="n">
        <f aca="false">SUMPRODUCT((BkRoom=S$2)*(BkDate=SelDate)*(BkStartMin&lt;=$AE$10)*(BkEndMin&gt;$AE$10)*(S$2&lt;&gt;""))</f>
        <v>0</v>
      </c>
      <c r="T28" s="96" t="n">
        <f aca="false">SUMPRODUCT((BkRoom=T$2)*(BkDate=SelDate)*(BkStartMin&lt;=$AE$10)*(BkEndMin&gt;$AE$10)*(T$2&lt;&gt;""))</f>
        <v>0</v>
      </c>
      <c r="U28" s="96" t="n">
        <f aca="false">SUMPRODUCT((BkRoom=U$2)*(BkDate=SelDate)*(BkStartMin&lt;=$AE$10)*(BkEndMin&gt;$AE$10)*(U$2&lt;&gt;""))</f>
        <v>0</v>
      </c>
      <c r="V28" s="96" t="n">
        <f aca="false">SUMPRODUCT((BkRoom=V$2)*(BkDate=SelDate)*(BkStartMin&lt;=$AE$10)*(BkEndMin&gt;$AE$10)*(V$2&lt;&gt;""))</f>
        <v>0</v>
      </c>
      <c r="W28" s="96" t="n">
        <f aca="false">SUMPRODUCT((BkRoom=W$2)*(BkDate=SelDate)*(BkStartMin&lt;=$AE$10)*(BkEndMin&gt;$AE$10)*(W$2&lt;&gt;""))</f>
        <v>0</v>
      </c>
      <c r="X28" s="96" t="n">
        <f aca="false">SUMPRODUCT((BkRoom=X$2)*(BkDate=SelDate)*(BkStartMin&lt;=$AE$10)*(BkEndMin&gt;$AE$10)*(X$2&lt;&gt;""))</f>
        <v>0</v>
      </c>
      <c r="Z28" s="98" t="n">
        <f aca="false">IF(Bookings!$C28="","",IFERROR(INDEX(RoomSeats,MATCH(Bookings!$C28,RoomList,0)),""))</f>
        <v>12</v>
      </c>
      <c r="AA28" s="98" t="n">
        <f aca="false">IF(Bookings!$D28="",-1,ROUND(Bookings!$D28*1440,0))</f>
        <v>870</v>
      </c>
      <c r="AB28" s="98" t="n">
        <f aca="false">IF(Bookings!$E28="",-1,ROUND(Bookings!$E28*1440,0))</f>
        <v>990</v>
      </c>
    </row>
    <row r="29" customFormat="false" ht="15" hidden="false" customHeight="false" outlineLevel="0" collapsed="false">
      <c r="A29" s="97" t="n">
        <f aca="false">$AE11/1440</f>
        <v>0.541666666666667</v>
      </c>
      <c r="B29" s="96" t="n">
        <f aca="false">SUMPRODUCT((BkRoom=SelRoom)*(BkDate=B$2)*(BkStartMin&lt;=$AE$11)*(BkEndMin&gt;$AE$11))</f>
        <v>0</v>
      </c>
      <c r="C29" s="96" t="n">
        <f aca="false">SUMPRODUCT((BkRoom=SelRoom)*(BkDate=C$2)*(BkStartMin&lt;=$AE$11)*(BkEndMin&gt;$AE$11))</f>
        <v>0</v>
      </c>
      <c r="D29" s="96" t="n">
        <f aca="false">SUMPRODUCT((BkRoom=SelRoom)*(BkDate=D$2)*(BkStartMin&lt;=$AE$11)*(BkEndMin&gt;$AE$11))</f>
        <v>0</v>
      </c>
      <c r="E29" s="96" t="n">
        <f aca="false">SUMPRODUCT((BkRoom=SelRoom)*(BkDate=E$2)*(BkStartMin&lt;=$AE$11)*(BkEndMin&gt;$AE$11))</f>
        <v>1</v>
      </c>
      <c r="F29" s="96" t="n">
        <f aca="false">SUMPRODUCT((BkRoom=SelRoom)*(BkDate=F$2)*(BkStartMin&lt;=$AE$11)*(BkEndMin&gt;$AE$11))</f>
        <v>0</v>
      </c>
      <c r="G29" s="96" t="n">
        <f aca="false">SUMPRODUCT((BkRoom=SelRoom)*(BkDate=G$2)*(BkStartMin&lt;=$AE$11)*(BkEndMin&gt;$AE$11))</f>
        <v>0</v>
      </c>
      <c r="H29" s="96" t="n">
        <f aca="false">SUMPRODUCT((BkRoom=SelRoom)*(BkDate=H$2)*(BkStartMin&lt;=$AE$11)*(BkEndMin&gt;$AE$11))</f>
        <v>0</v>
      </c>
      <c r="I29" s="96" t="n">
        <f aca="false">SUMPRODUCT((BkRoom=SelRoom)*(BkDate=I$2)*(BkStartMin&lt;=$AE$11)*(BkEndMin&gt;$AE$11))</f>
        <v>0</v>
      </c>
      <c r="J29" s="96" t="n">
        <f aca="false">SUMPRODUCT((BkRoom=SelRoom)*(BkDate=J$2)*(BkStartMin&lt;=$AE$11)*(BkEndMin&gt;$AE$11))</f>
        <v>0</v>
      </c>
      <c r="K29" s="96" t="n">
        <f aca="false">SUMPRODUCT((BkRoom=SelRoom)*(BkDate=K$2)*(BkStartMin&lt;=$AE$11)*(BkEndMin&gt;$AE$11))</f>
        <v>1</v>
      </c>
      <c r="M29" s="96" t="n">
        <f aca="false">SUMPRODUCT((BkRoom=M$2)*(BkDate=SelDate)*(BkStartMin&lt;=$AE$11)*(BkEndMin&gt;$AE$11)*(M$2&lt;&gt;""))</f>
        <v>0</v>
      </c>
      <c r="N29" s="96" t="n">
        <f aca="false">SUMPRODUCT((BkRoom=N$2)*(BkDate=SelDate)*(BkStartMin&lt;=$AE$11)*(BkEndMin&gt;$AE$11)*(N$2&lt;&gt;""))</f>
        <v>0</v>
      </c>
      <c r="O29" s="96" t="n">
        <f aca="false">SUMPRODUCT((BkRoom=O$2)*(BkDate=SelDate)*(BkStartMin&lt;=$AE$11)*(BkEndMin&gt;$AE$11)*(O$2&lt;&gt;""))</f>
        <v>0</v>
      </c>
      <c r="P29" s="96" t="n">
        <f aca="false">SUMPRODUCT((BkRoom=P$2)*(BkDate=SelDate)*(BkStartMin&lt;=$AE$11)*(BkEndMin&gt;$AE$11)*(P$2&lt;&gt;""))</f>
        <v>0</v>
      </c>
      <c r="Q29" s="96" t="n">
        <f aca="false">SUMPRODUCT((BkRoom=Q$2)*(BkDate=SelDate)*(BkStartMin&lt;=$AE$11)*(BkEndMin&gt;$AE$11)*(Q$2&lt;&gt;""))</f>
        <v>0</v>
      </c>
      <c r="R29" s="96" t="n">
        <f aca="false">SUMPRODUCT((BkRoom=R$2)*(BkDate=SelDate)*(BkStartMin&lt;=$AE$11)*(BkEndMin&gt;$AE$11)*(R$2&lt;&gt;""))</f>
        <v>0</v>
      </c>
      <c r="S29" s="96" t="n">
        <f aca="false">SUMPRODUCT((BkRoom=S$2)*(BkDate=SelDate)*(BkStartMin&lt;=$AE$11)*(BkEndMin&gt;$AE$11)*(S$2&lt;&gt;""))</f>
        <v>0</v>
      </c>
      <c r="T29" s="96" t="n">
        <f aca="false">SUMPRODUCT((BkRoom=T$2)*(BkDate=SelDate)*(BkStartMin&lt;=$AE$11)*(BkEndMin&gt;$AE$11)*(T$2&lt;&gt;""))</f>
        <v>0</v>
      </c>
      <c r="U29" s="96" t="n">
        <f aca="false">SUMPRODUCT((BkRoom=U$2)*(BkDate=SelDate)*(BkStartMin&lt;=$AE$11)*(BkEndMin&gt;$AE$11)*(U$2&lt;&gt;""))</f>
        <v>0</v>
      </c>
      <c r="V29" s="96" t="n">
        <f aca="false">SUMPRODUCT((BkRoom=V$2)*(BkDate=SelDate)*(BkStartMin&lt;=$AE$11)*(BkEndMin&gt;$AE$11)*(V$2&lt;&gt;""))</f>
        <v>0</v>
      </c>
      <c r="W29" s="96" t="n">
        <f aca="false">SUMPRODUCT((BkRoom=W$2)*(BkDate=SelDate)*(BkStartMin&lt;=$AE$11)*(BkEndMin&gt;$AE$11)*(W$2&lt;&gt;""))</f>
        <v>0</v>
      </c>
      <c r="X29" s="96" t="n">
        <f aca="false">SUMPRODUCT((BkRoom=X$2)*(BkDate=SelDate)*(BkStartMin&lt;=$AE$11)*(BkEndMin&gt;$AE$11)*(X$2&lt;&gt;""))</f>
        <v>0</v>
      </c>
      <c r="Z29" s="98" t="n">
        <f aca="false">IF(Bookings!$C29="","",IFERROR(INDEX(RoomSeats,MATCH(Bookings!$C29,RoomList,0)),""))</f>
        <v>8</v>
      </c>
      <c r="AA29" s="98" t="n">
        <f aca="false">IF(Bookings!$D29="",-1,ROUND(Bookings!$D29*1440,0))</f>
        <v>870</v>
      </c>
      <c r="AB29" s="98" t="n">
        <f aca="false">IF(Bookings!$E29="",-1,ROUND(Bookings!$E29*1440,0))</f>
        <v>930</v>
      </c>
    </row>
    <row r="30" customFormat="false" ht="15" hidden="false" customHeight="false" outlineLevel="0" collapsed="false">
      <c r="A30" s="97" t="n">
        <f aca="false">$AE12/1440</f>
        <v>0.5625</v>
      </c>
      <c r="B30" s="96" t="n">
        <f aca="false">SUMPRODUCT((BkRoom=SelRoom)*(BkDate=B$2)*(BkStartMin&lt;=$AE$12)*(BkEndMin&gt;$AE$12))</f>
        <v>0</v>
      </c>
      <c r="C30" s="96" t="n">
        <f aca="false">SUMPRODUCT((BkRoom=SelRoom)*(BkDate=C$2)*(BkStartMin&lt;=$AE$12)*(BkEndMin&gt;$AE$12))</f>
        <v>0</v>
      </c>
      <c r="D30" s="96" t="n">
        <f aca="false">SUMPRODUCT((BkRoom=SelRoom)*(BkDate=D$2)*(BkStartMin&lt;=$AE$12)*(BkEndMin&gt;$AE$12))</f>
        <v>0</v>
      </c>
      <c r="E30" s="96" t="n">
        <f aca="false">SUMPRODUCT((BkRoom=SelRoom)*(BkDate=E$2)*(BkStartMin&lt;=$AE$12)*(BkEndMin&gt;$AE$12))</f>
        <v>1</v>
      </c>
      <c r="F30" s="96" t="n">
        <f aca="false">SUMPRODUCT((BkRoom=SelRoom)*(BkDate=F$2)*(BkStartMin&lt;=$AE$12)*(BkEndMin&gt;$AE$12))</f>
        <v>0</v>
      </c>
      <c r="G30" s="96" t="n">
        <f aca="false">SUMPRODUCT((BkRoom=SelRoom)*(BkDate=G$2)*(BkStartMin&lt;=$AE$12)*(BkEndMin&gt;$AE$12))</f>
        <v>0</v>
      </c>
      <c r="H30" s="96" t="n">
        <f aca="false">SUMPRODUCT((BkRoom=SelRoom)*(BkDate=H$2)*(BkStartMin&lt;=$AE$12)*(BkEndMin&gt;$AE$12))</f>
        <v>0</v>
      </c>
      <c r="I30" s="96" t="n">
        <f aca="false">SUMPRODUCT((BkRoom=SelRoom)*(BkDate=I$2)*(BkStartMin&lt;=$AE$12)*(BkEndMin&gt;$AE$12))</f>
        <v>0</v>
      </c>
      <c r="J30" s="96" t="n">
        <f aca="false">SUMPRODUCT((BkRoom=SelRoom)*(BkDate=J$2)*(BkStartMin&lt;=$AE$12)*(BkEndMin&gt;$AE$12))</f>
        <v>0</v>
      </c>
      <c r="K30" s="96" t="n">
        <f aca="false">SUMPRODUCT((BkRoom=SelRoom)*(BkDate=K$2)*(BkStartMin&lt;=$AE$12)*(BkEndMin&gt;$AE$12))</f>
        <v>0</v>
      </c>
      <c r="M30" s="96" t="n">
        <f aca="false">SUMPRODUCT((BkRoom=M$2)*(BkDate=SelDate)*(BkStartMin&lt;=$AE$12)*(BkEndMin&gt;$AE$12)*(M$2&lt;&gt;""))</f>
        <v>0</v>
      </c>
      <c r="N30" s="96" t="n">
        <f aca="false">SUMPRODUCT((BkRoom=N$2)*(BkDate=SelDate)*(BkStartMin&lt;=$AE$12)*(BkEndMin&gt;$AE$12)*(N$2&lt;&gt;""))</f>
        <v>0</v>
      </c>
      <c r="O30" s="96" t="n">
        <f aca="false">SUMPRODUCT((BkRoom=O$2)*(BkDate=SelDate)*(BkStartMin&lt;=$AE$12)*(BkEndMin&gt;$AE$12)*(O$2&lt;&gt;""))</f>
        <v>0</v>
      </c>
      <c r="P30" s="96" t="n">
        <f aca="false">SUMPRODUCT((BkRoom=P$2)*(BkDate=SelDate)*(BkStartMin&lt;=$AE$12)*(BkEndMin&gt;$AE$12)*(P$2&lt;&gt;""))</f>
        <v>0</v>
      </c>
      <c r="Q30" s="96" t="n">
        <f aca="false">SUMPRODUCT((BkRoom=Q$2)*(BkDate=SelDate)*(BkStartMin&lt;=$AE$12)*(BkEndMin&gt;$AE$12)*(Q$2&lt;&gt;""))</f>
        <v>0</v>
      </c>
      <c r="R30" s="96" t="n">
        <f aca="false">SUMPRODUCT((BkRoom=R$2)*(BkDate=SelDate)*(BkStartMin&lt;=$AE$12)*(BkEndMin&gt;$AE$12)*(R$2&lt;&gt;""))</f>
        <v>0</v>
      </c>
      <c r="S30" s="96" t="n">
        <f aca="false">SUMPRODUCT((BkRoom=S$2)*(BkDate=SelDate)*(BkStartMin&lt;=$AE$12)*(BkEndMin&gt;$AE$12)*(S$2&lt;&gt;""))</f>
        <v>0</v>
      </c>
      <c r="T30" s="96" t="n">
        <f aca="false">SUMPRODUCT((BkRoom=T$2)*(BkDate=SelDate)*(BkStartMin&lt;=$AE$12)*(BkEndMin&gt;$AE$12)*(T$2&lt;&gt;""))</f>
        <v>0</v>
      </c>
      <c r="U30" s="96" t="n">
        <f aca="false">SUMPRODUCT((BkRoom=U$2)*(BkDate=SelDate)*(BkStartMin&lt;=$AE$12)*(BkEndMin&gt;$AE$12)*(U$2&lt;&gt;""))</f>
        <v>0</v>
      </c>
      <c r="V30" s="96" t="n">
        <f aca="false">SUMPRODUCT((BkRoom=V$2)*(BkDate=SelDate)*(BkStartMin&lt;=$AE$12)*(BkEndMin&gt;$AE$12)*(V$2&lt;&gt;""))</f>
        <v>0</v>
      </c>
      <c r="W30" s="96" t="n">
        <f aca="false">SUMPRODUCT((BkRoom=W$2)*(BkDate=SelDate)*(BkStartMin&lt;=$AE$12)*(BkEndMin&gt;$AE$12)*(W$2&lt;&gt;""))</f>
        <v>0</v>
      </c>
      <c r="X30" s="96" t="n">
        <f aca="false">SUMPRODUCT((BkRoom=X$2)*(BkDate=SelDate)*(BkStartMin&lt;=$AE$12)*(BkEndMin&gt;$AE$12)*(X$2&lt;&gt;""))</f>
        <v>0</v>
      </c>
      <c r="Z30" s="98" t="n">
        <f aca="false">IF(Bookings!$C30="","",IFERROR(INDEX(RoomSeats,MATCH(Bookings!$C30,RoomList,0)),""))</f>
        <v>14</v>
      </c>
      <c r="AA30" s="98" t="n">
        <f aca="false">IF(Bookings!$D30="",-1,ROUND(Bookings!$D30*1440,0))</f>
        <v>870</v>
      </c>
      <c r="AB30" s="98" t="n">
        <f aca="false">IF(Bookings!$E30="",-1,ROUND(Bookings!$E30*1440,0))</f>
        <v>930</v>
      </c>
    </row>
    <row r="31" customFormat="false" ht="15" hidden="false" customHeight="false" outlineLevel="0" collapsed="false">
      <c r="A31" s="97" t="n">
        <f aca="false">$AE13/1440</f>
        <v>0.583333333333333</v>
      </c>
      <c r="B31" s="96" t="n">
        <f aca="false">SUMPRODUCT((BkRoom=SelRoom)*(BkDate=B$2)*(BkStartMin&lt;=$AE$13)*(BkEndMin&gt;$AE$13))</f>
        <v>0</v>
      </c>
      <c r="C31" s="96" t="n">
        <f aca="false">SUMPRODUCT((BkRoom=SelRoom)*(BkDate=C$2)*(BkStartMin&lt;=$AE$13)*(BkEndMin&gt;$AE$13))</f>
        <v>0</v>
      </c>
      <c r="D31" s="96" t="n">
        <f aca="false">SUMPRODUCT((BkRoom=SelRoom)*(BkDate=D$2)*(BkStartMin&lt;=$AE$13)*(BkEndMin&gt;$AE$13))</f>
        <v>0</v>
      </c>
      <c r="E31" s="96" t="n">
        <f aca="false">SUMPRODUCT((BkRoom=SelRoom)*(BkDate=E$2)*(BkStartMin&lt;=$AE$13)*(BkEndMin&gt;$AE$13))</f>
        <v>1</v>
      </c>
      <c r="F31" s="96" t="n">
        <f aca="false">SUMPRODUCT((BkRoom=SelRoom)*(BkDate=F$2)*(BkStartMin&lt;=$AE$13)*(BkEndMin&gt;$AE$13))</f>
        <v>1</v>
      </c>
      <c r="G31" s="96" t="n">
        <f aca="false">SUMPRODUCT((BkRoom=SelRoom)*(BkDate=G$2)*(BkStartMin&lt;=$AE$13)*(BkEndMin&gt;$AE$13))</f>
        <v>0</v>
      </c>
      <c r="H31" s="96" t="n">
        <f aca="false">SUMPRODUCT((BkRoom=SelRoom)*(BkDate=H$2)*(BkStartMin&lt;=$AE$13)*(BkEndMin&gt;$AE$13))</f>
        <v>0</v>
      </c>
      <c r="I31" s="96" t="n">
        <f aca="false">SUMPRODUCT((BkRoom=SelRoom)*(BkDate=I$2)*(BkStartMin&lt;=$AE$13)*(BkEndMin&gt;$AE$13))</f>
        <v>0</v>
      </c>
      <c r="J31" s="96" t="n">
        <f aca="false">SUMPRODUCT((BkRoom=SelRoom)*(BkDate=J$2)*(BkStartMin&lt;=$AE$13)*(BkEndMin&gt;$AE$13))</f>
        <v>1</v>
      </c>
      <c r="K31" s="96" t="n">
        <f aca="false">SUMPRODUCT((BkRoom=SelRoom)*(BkDate=K$2)*(BkStartMin&lt;=$AE$13)*(BkEndMin&gt;$AE$13))</f>
        <v>0</v>
      </c>
      <c r="M31" s="96" t="n">
        <f aca="false">SUMPRODUCT((BkRoom=M$2)*(BkDate=SelDate)*(BkStartMin&lt;=$AE$13)*(BkEndMin&gt;$AE$13)*(M$2&lt;&gt;""))</f>
        <v>0</v>
      </c>
      <c r="N31" s="96" t="n">
        <f aca="false">SUMPRODUCT((BkRoom=N$2)*(BkDate=SelDate)*(BkStartMin&lt;=$AE$13)*(BkEndMin&gt;$AE$13)*(N$2&lt;&gt;""))</f>
        <v>1</v>
      </c>
      <c r="O31" s="96" t="n">
        <f aca="false">SUMPRODUCT((BkRoom=O$2)*(BkDate=SelDate)*(BkStartMin&lt;=$AE$13)*(BkEndMin&gt;$AE$13)*(O$2&lt;&gt;""))</f>
        <v>0</v>
      </c>
      <c r="P31" s="96" t="n">
        <f aca="false">SUMPRODUCT((BkRoom=P$2)*(BkDate=SelDate)*(BkStartMin&lt;=$AE$13)*(BkEndMin&gt;$AE$13)*(P$2&lt;&gt;""))</f>
        <v>0</v>
      </c>
      <c r="Q31" s="96" t="n">
        <f aca="false">SUMPRODUCT((BkRoom=Q$2)*(BkDate=SelDate)*(BkStartMin&lt;=$AE$13)*(BkEndMin&gt;$AE$13)*(Q$2&lt;&gt;""))</f>
        <v>0</v>
      </c>
      <c r="R31" s="96" t="n">
        <f aca="false">SUMPRODUCT((BkRoom=R$2)*(BkDate=SelDate)*(BkStartMin&lt;=$AE$13)*(BkEndMin&gt;$AE$13)*(R$2&lt;&gt;""))</f>
        <v>1</v>
      </c>
      <c r="S31" s="96" t="n">
        <f aca="false">SUMPRODUCT((BkRoom=S$2)*(BkDate=SelDate)*(BkStartMin&lt;=$AE$13)*(BkEndMin&gt;$AE$13)*(S$2&lt;&gt;""))</f>
        <v>0</v>
      </c>
      <c r="T31" s="96" t="n">
        <f aca="false">SUMPRODUCT((BkRoom=T$2)*(BkDate=SelDate)*(BkStartMin&lt;=$AE$13)*(BkEndMin&gt;$AE$13)*(T$2&lt;&gt;""))</f>
        <v>0</v>
      </c>
      <c r="U31" s="96" t="n">
        <f aca="false">SUMPRODUCT((BkRoom=U$2)*(BkDate=SelDate)*(BkStartMin&lt;=$AE$13)*(BkEndMin&gt;$AE$13)*(U$2&lt;&gt;""))</f>
        <v>0</v>
      </c>
      <c r="V31" s="96" t="n">
        <f aca="false">SUMPRODUCT((BkRoom=V$2)*(BkDate=SelDate)*(BkStartMin&lt;=$AE$13)*(BkEndMin&gt;$AE$13)*(V$2&lt;&gt;""))</f>
        <v>0</v>
      </c>
      <c r="W31" s="96" t="n">
        <f aca="false">SUMPRODUCT((BkRoom=W$2)*(BkDate=SelDate)*(BkStartMin&lt;=$AE$13)*(BkEndMin&gt;$AE$13)*(W$2&lt;&gt;""))</f>
        <v>0</v>
      </c>
      <c r="X31" s="96" t="n">
        <f aca="false">SUMPRODUCT((BkRoom=X$2)*(BkDate=SelDate)*(BkStartMin&lt;=$AE$13)*(BkEndMin&gt;$AE$13)*(X$2&lt;&gt;""))</f>
        <v>0</v>
      </c>
      <c r="Z31" s="98" t="n">
        <f aca="false">IF(Bookings!$C31="","",IFERROR(INDEX(RoomSeats,MATCH(Bookings!$C31,RoomList,0)),""))</f>
        <v>14</v>
      </c>
      <c r="AA31" s="98" t="n">
        <f aca="false">IF(Bookings!$D31="",-1,ROUND(Bookings!$D31*1440,0))</f>
        <v>930</v>
      </c>
      <c r="AB31" s="98" t="n">
        <f aca="false">IF(Bookings!$E31="",-1,ROUND(Bookings!$E31*1440,0))</f>
        <v>960</v>
      </c>
    </row>
    <row r="32" customFormat="false" ht="15" hidden="false" customHeight="false" outlineLevel="0" collapsed="false">
      <c r="A32" s="97" t="n">
        <f aca="false">$AE14/1440</f>
        <v>0.604166666666667</v>
      </c>
      <c r="B32" s="96" t="n">
        <f aca="false">SUMPRODUCT((BkRoom=SelRoom)*(BkDate=B$2)*(BkStartMin&lt;=$AE$14)*(BkEndMin&gt;$AE$14))</f>
        <v>0</v>
      </c>
      <c r="C32" s="96" t="n">
        <f aca="false">SUMPRODUCT((BkRoom=SelRoom)*(BkDate=C$2)*(BkStartMin&lt;=$AE$14)*(BkEndMin&gt;$AE$14))</f>
        <v>1</v>
      </c>
      <c r="D32" s="96" t="n">
        <f aca="false">SUMPRODUCT((BkRoom=SelRoom)*(BkDate=D$2)*(BkStartMin&lt;=$AE$14)*(BkEndMin&gt;$AE$14))</f>
        <v>1</v>
      </c>
      <c r="E32" s="96" t="n">
        <f aca="false">SUMPRODUCT((BkRoom=SelRoom)*(BkDate=E$2)*(BkStartMin&lt;=$AE$14)*(BkEndMin&gt;$AE$14))</f>
        <v>1</v>
      </c>
      <c r="F32" s="96" t="n">
        <f aca="false">SUMPRODUCT((BkRoom=SelRoom)*(BkDate=F$2)*(BkStartMin&lt;=$AE$14)*(BkEndMin&gt;$AE$14))</f>
        <v>1</v>
      </c>
      <c r="G32" s="96" t="n">
        <f aca="false">SUMPRODUCT((BkRoom=SelRoom)*(BkDate=G$2)*(BkStartMin&lt;=$AE$14)*(BkEndMin&gt;$AE$14))</f>
        <v>0</v>
      </c>
      <c r="H32" s="96" t="n">
        <f aca="false">SUMPRODUCT((BkRoom=SelRoom)*(BkDate=H$2)*(BkStartMin&lt;=$AE$14)*(BkEndMin&gt;$AE$14))</f>
        <v>0</v>
      </c>
      <c r="I32" s="96" t="n">
        <f aca="false">SUMPRODUCT((BkRoom=SelRoom)*(BkDate=I$2)*(BkStartMin&lt;=$AE$14)*(BkEndMin&gt;$AE$14))</f>
        <v>0</v>
      </c>
      <c r="J32" s="96" t="n">
        <f aca="false">SUMPRODUCT((BkRoom=SelRoom)*(BkDate=J$2)*(BkStartMin&lt;=$AE$14)*(BkEndMin&gt;$AE$14))</f>
        <v>1</v>
      </c>
      <c r="K32" s="96" t="n">
        <f aca="false">SUMPRODUCT((BkRoom=SelRoom)*(BkDate=K$2)*(BkStartMin&lt;=$AE$14)*(BkEndMin&gt;$AE$14))</f>
        <v>0</v>
      </c>
      <c r="M32" s="96" t="n">
        <f aca="false">SUMPRODUCT((BkRoom=M$2)*(BkDate=SelDate)*(BkStartMin&lt;=$AE$14)*(BkEndMin&gt;$AE$14)*(M$2&lt;&gt;""))</f>
        <v>0</v>
      </c>
      <c r="N32" s="96" t="n">
        <f aca="false">SUMPRODUCT((BkRoom=N$2)*(BkDate=SelDate)*(BkStartMin&lt;=$AE$14)*(BkEndMin&gt;$AE$14)*(N$2&lt;&gt;""))</f>
        <v>0</v>
      </c>
      <c r="O32" s="96" t="n">
        <f aca="false">SUMPRODUCT((BkRoom=O$2)*(BkDate=SelDate)*(BkStartMin&lt;=$AE$14)*(BkEndMin&gt;$AE$14)*(O$2&lt;&gt;""))</f>
        <v>0</v>
      </c>
      <c r="P32" s="96" t="n">
        <f aca="false">SUMPRODUCT((BkRoom=P$2)*(BkDate=SelDate)*(BkStartMin&lt;=$AE$14)*(BkEndMin&gt;$AE$14)*(P$2&lt;&gt;""))</f>
        <v>1</v>
      </c>
      <c r="Q32" s="96" t="n">
        <f aca="false">SUMPRODUCT((BkRoom=Q$2)*(BkDate=SelDate)*(BkStartMin&lt;=$AE$14)*(BkEndMin&gt;$AE$14)*(Q$2&lt;&gt;""))</f>
        <v>0</v>
      </c>
      <c r="R32" s="96" t="n">
        <f aca="false">SUMPRODUCT((BkRoom=R$2)*(BkDate=SelDate)*(BkStartMin&lt;=$AE$14)*(BkEndMin&gt;$AE$14)*(R$2&lt;&gt;""))</f>
        <v>1</v>
      </c>
      <c r="S32" s="96" t="n">
        <f aca="false">SUMPRODUCT((BkRoom=S$2)*(BkDate=SelDate)*(BkStartMin&lt;=$AE$14)*(BkEndMin&gt;$AE$14)*(S$2&lt;&gt;""))</f>
        <v>0</v>
      </c>
      <c r="T32" s="96" t="n">
        <f aca="false">SUMPRODUCT((BkRoom=T$2)*(BkDate=SelDate)*(BkStartMin&lt;=$AE$14)*(BkEndMin&gt;$AE$14)*(T$2&lt;&gt;""))</f>
        <v>0</v>
      </c>
      <c r="U32" s="96" t="n">
        <f aca="false">SUMPRODUCT((BkRoom=U$2)*(BkDate=SelDate)*(BkStartMin&lt;=$AE$14)*(BkEndMin&gt;$AE$14)*(U$2&lt;&gt;""))</f>
        <v>0</v>
      </c>
      <c r="V32" s="96" t="n">
        <f aca="false">SUMPRODUCT((BkRoom=V$2)*(BkDate=SelDate)*(BkStartMin&lt;=$AE$14)*(BkEndMin&gt;$AE$14)*(V$2&lt;&gt;""))</f>
        <v>0</v>
      </c>
      <c r="W32" s="96" t="n">
        <f aca="false">SUMPRODUCT((BkRoom=W$2)*(BkDate=SelDate)*(BkStartMin&lt;=$AE$14)*(BkEndMin&gt;$AE$14)*(W$2&lt;&gt;""))</f>
        <v>0</v>
      </c>
      <c r="X32" s="96" t="n">
        <f aca="false">SUMPRODUCT((BkRoom=X$2)*(BkDate=SelDate)*(BkStartMin&lt;=$AE$14)*(BkEndMin&gt;$AE$14)*(X$2&lt;&gt;""))</f>
        <v>0</v>
      </c>
      <c r="Z32" s="98" t="n">
        <f aca="false">IF(Bookings!$C32="","",IFERROR(INDEX(RoomSeats,MATCH(Bookings!$C32,RoomList,0)),""))</f>
        <v>2</v>
      </c>
      <c r="AA32" s="98" t="n">
        <f aca="false">IF(Bookings!$D32="",-1,ROUND(Bookings!$D32*1440,0))</f>
        <v>930</v>
      </c>
      <c r="AB32" s="98" t="n">
        <f aca="false">IF(Bookings!$E32="",-1,ROUND(Bookings!$E32*1440,0))</f>
        <v>960</v>
      </c>
    </row>
    <row r="33" customFormat="false" ht="15" hidden="false" customHeight="false" outlineLevel="0" collapsed="false">
      <c r="A33" s="97" t="n">
        <f aca="false">$AE15/1440</f>
        <v>0.625</v>
      </c>
      <c r="B33" s="96" t="n">
        <f aca="false">SUMPRODUCT((BkRoom=SelRoom)*(BkDate=B$2)*(BkStartMin&lt;=$AE$15)*(BkEndMin&gt;$AE$15))</f>
        <v>0</v>
      </c>
      <c r="C33" s="96" t="n">
        <f aca="false">SUMPRODUCT((BkRoom=SelRoom)*(BkDate=C$2)*(BkStartMin&lt;=$AE$15)*(BkEndMin&gt;$AE$15))</f>
        <v>1</v>
      </c>
      <c r="D33" s="96" t="n">
        <f aca="false">SUMPRODUCT((BkRoom=SelRoom)*(BkDate=D$2)*(BkStartMin&lt;=$AE$15)*(BkEndMin&gt;$AE$15))</f>
        <v>1</v>
      </c>
      <c r="E33" s="96" t="n">
        <f aca="false">SUMPRODUCT((BkRoom=SelRoom)*(BkDate=E$2)*(BkStartMin&lt;=$AE$15)*(BkEndMin&gt;$AE$15))</f>
        <v>1</v>
      </c>
      <c r="F33" s="96" t="n">
        <f aca="false">SUMPRODUCT((BkRoom=SelRoom)*(BkDate=F$2)*(BkStartMin&lt;=$AE$15)*(BkEndMin&gt;$AE$15))</f>
        <v>0</v>
      </c>
      <c r="G33" s="96" t="n">
        <f aca="false">SUMPRODUCT((BkRoom=SelRoom)*(BkDate=G$2)*(BkStartMin&lt;=$AE$15)*(BkEndMin&gt;$AE$15))</f>
        <v>1</v>
      </c>
      <c r="H33" s="96" t="n">
        <f aca="false">SUMPRODUCT((BkRoom=SelRoom)*(BkDate=H$2)*(BkStartMin&lt;=$AE$15)*(BkEndMin&gt;$AE$15))</f>
        <v>0</v>
      </c>
      <c r="I33" s="96" t="n">
        <f aca="false">SUMPRODUCT((BkRoom=SelRoom)*(BkDate=I$2)*(BkStartMin&lt;=$AE$15)*(BkEndMin&gt;$AE$15))</f>
        <v>0</v>
      </c>
      <c r="J33" s="96" t="n">
        <f aca="false">SUMPRODUCT((BkRoom=SelRoom)*(BkDate=J$2)*(BkStartMin&lt;=$AE$15)*(BkEndMin&gt;$AE$15))</f>
        <v>0</v>
      </c>
      <c r="K33" s="96" t="n">
        <f aca="false">SUMPRODUCT((BkRoom=SelRoom)*(BkDate=K$2)*(BkStartMin&lt;=$AE$15)*(BkEndMin&gt;$AE$15))</f>
        <v>1</v>
      </c>
      <c r="M33" s="96" t="n">
        <f aca="false">SUMPRODUCT((BkRoom=M$2)*(BkDate=SelDate)*(BkStartMin&lt;=$AE$15)*(BkEndMin&gt;$AE$15)*(M$2&lt;&gt;""))</f>
        <v>0</v>
      </c>
      <c r="N33" s="96" t="n">
        <f aca="false">SUMPRODUCT((BkRoom=N$2)*(BkDate=SelDate)*(BkStartMin&lt;=$AE$15)*(BkEndMin&gt;$AE$15)*(N$2&lt;&gt;""))</f>
        <v>0</v>
      </c>
      <c r="O33" s="96" t="n">
        <f aca="false">SUMPRODUCT((BkRoom=O$2)*(BkDate=SelDate)*(BkStartMin&lt;=$AE$15)*(BkEndMin&gt;$AE$15)*(O$2&lt;&gt;""))</f>
        <v>0</v>
      </c>
      <c r="P33" s="96" t="n">
        <f aca="false">SUMPRODUCT((BkRoom=P$2)*(BkDate=SelDate)*(BkStartMin&lt;=$AE$15)*(BkEndMin&gt;$AE$15)*(P$2&lt;&gt;""))</f>
        <v>0</v>
      </c>
      <c r="Q33" s="96" t="n">
        <f aca="false">SUMPRODUCT((BkRoom=Q$2)*(BkDate=SelDate)*(BkStartMin&lt;=$AE$15)*(BkEndMin&gt;$AE$15)*(Q$2&lt;&gt;""))</f>
        <v>0</v>
      </c>
      <c r="R33" s="96" t="n">
        <f aca="false">SUMPRODUCT((BkRoom=R$2)*(BkDate=SelDate)*(BkStartMin&lt;=$AE$15)*(BkEndMin&gt;$AE$15)*(R$2&lt;&gt;""))</f>
        <v>0</v>
      </c>
      <c r="S33" s="96" t="n">
        <f aca="false">SUMPRODUCT((BkRoom=S$2)*(BkDate=SelDate)*(BkStartMin&lt;=$AE$15)*(BkEndMin&gt;$AE$15)*(S$2&lt;&gt;""))</f>
        <v>0</v>
      </c>
      <c r="T33" s="96" t="n">
        <f aca="false">SUMPRODUCT((BkRoom=T$2)*(BkDate=SelDate)*(BkStartMin&lt;=$AE$15)*(BkEndMin&gt;$AE$15)*(T$2&lt;&gt;""))</f>
        <v>0</v>
      </c>
      <c r="U33" s="96" t="n">
        <f aca="false">SUMPRODUCT((BkRoom=U$2)*(BkDate=SelDate)*(BkStartMin&lt;=$AE$15)*(BkEndMin&gt;$AE$15)*(U$2&lt;&gt;""))</f>
        <v>0</v>
      </c>
      <c r="V33" s="96" t="n">
        <f aca="false">SUMPRODUCT((BkRoom=V$2)*(BkDate=SelDate)*(BkStartMin&lt;=$AE$15)*(BkEndMin&gt;$AE$15)*(V$2&lt;&gt;""))</f>
        <v>0</v>
      </c>
      <c r="W33" s="96" t="n">
        <f aca="false">SUMPRODUCT((BkRoom=W$2)*(BkDate=SelDate)*(BkStartMin&lt;=$AE$15)*(BkEndMin&gt;$AE$15)*(W$2&lt;&gt;""))</f>
        <v>0</v>
      </c>
      <c r="X33" s="96" t="n">
        <f aca="false">SUMPRODUCT((BkRoom=X$2)*(BkDate=SelDate)*(BkStartMin&lt;=$AE$15)*(BkEndMin&gt;$AE$15)*(X$2&lt;&gt;""))</f>
        <v>0</v>
      </c>
      <c r="Z33" s="98" t="n">
        <f aca="false">IF(Bookings!$C33="","",IFERROR(INDEX(RoomSeats,MATCH(Bookings!$C33,RoomList,0)),""))</f>
        <v>2</v>
      </c>
      <c r="AA33" s="98" t="n">
        <f aca="false">IF(Bookings!$D33="",-1,ROUND(Bookings!$D33*1440,0))</f>
        <v>600</v>
      </c>
      <c r="AB33" s="98" t="n">
        <f aca="false">IF(Bookings!$E33="",-1,ROUND(Bookings!$E33*1440,0))</f>
        <v>630</v>
      </c>
    </row>
    <row r="34" customFormat="false" ht="15" hidden="false" customHeight="false" outlineLevel="0" collapsed="false">
      <c r="A34" s="97" t="n">
        <f aca="false">$AE16/1440</f>
        <v>0.645833333333333</v>
      </c>
      <c r="B34" s="96" t="n">
        <f aca="false">SUMPRODUCT((BkRoom=SelRoom)*(BkDate=B$2)*(BkStartMin&lt;=$AE$16)*(BkEndMin&gt;$AE$16))</f>
        <v>0</v>
      </c>
      <c r="C34" s="96" t="n">
        <f aca="false">SUMPRODUCT((BkRoom=SelRoom)*(BkDate=C$2)*(BkStartMin&lt;=$AE$16)*(BkEndMin&gt;$AE$16))</f>
        <v>1</v>
      </c>
      <c r="D34" s="96" t="n">
        <f aca="false">SUMPRODUCT((BkRoom=SelRoom)*(BkDate=D$2)*(BkStartMin&lt;=$AE$16)*(BkEndMin&gt;$AE$16))</f>
        <v>1</v>
      </c>
      <c r="E34" s="96" t="n">
        <f aca="false">SUMPRODUCT((BkRoom=SelRoom)*(BkDate=E$2)*(BkStartMin&lt;=$AE$16)*(BkEndMin&gt;$AE$16))</f>
        <v>1</v>
      </c>
      <c r="F34" s="96" t="n">
        <f aca="false">SUMPRODUCT((BkRoom=SelRoom)*(BkDate=F$2)*(BkStartMin&lt;=$AE$16)*(BkEndMin&gt;$AE$16))</f>
        <v>0</v>
      </c>
      <c r="G34" s="96" t="n">
        <f aca="false">SUMPRODUCT((BkRoom=SelRoom)*(BkDate=G$2)*(BkStartMin&lt;=$AE$16)*(BkEndMin&gt;$AE$16))</f>
        <v>1</v>
      </c>
      <c r="H34" s="96" t="n">
        <f aca="false">SUMPRODUCT((BkRoom=SelRoom)*(BkDate=H$2)*(BkStartMin&lt;=$AE$16)*(BkEndMin&gt;$AE$16))</f>
        <v>0</v>
      </c>
      <c r="I34" s="96" t="n">
        <f aca="false">SUMPRODUCT((BkRoom=SelRoom)*(BkDate=I$2)*(BkStartMin&lt;=$AE$16)*(BkEndMin&gt;$AE$16))</f>
        <v>0</v>
      </c>
      <c r="J34" s="96" t="n">
        <f aca="false">SUMPRODUCT((BkRoom=SelRoom)*(BkDate=J$2)*(BkStartMin&lt;=$AE$16)*(BkEndMin&gt;$AE$16))</f>
        <v>0</v>
      </c>
      <c r="K34" s="96" t="n">
        <f aca="false">SUMPRODUCT((BkRoom=SelRoom)*(BkDate=K$2)*(BkStartMin&lt;=$AE$16)*(BkEndMin&gt;$AE$16))</f>
        <v>1</v>
      </c>
      <c r="M34" s="96" t="n">
        <f aca="false">SUMPRODUCT((BkRoom=M$2)*(BkDate=SelDate)*(BkStartMin&lt;=$AE$16)*(BkEndMin&gt;$AE$16)*(M$2&lt;&gt;""))</f>
        <v>0</v>
      </c>
      <c r="N34" s="96" t="n">
        <f aca="false">SUMPRODUCT((BkRoom=N$2)*(BkDate=SelDate)*(BkStartMin&lt;=$AE$16)*(BkEndMin&gt;$AE$16)*(N$2&lt;&gt;""))</f>
        <v>0</v>
      </c>
      <c r="O34" s="96" t="n">
        <f aca="false">SUMPRODUCT((BkRoom=O$2)*(BkDate=SelDate)*(BkStartMin&lt;=$AE$16)*(BkEndMin&gt;$AE$16)*(O$2&lt;&gt;""))</f>
        <v>0</v>
      </c>
      <c r="P34" s="96" t="n">
        <f aca="false">SUMPRODUCT((BkRoom=P$2)*(BkDate=SelDate)*(BkStartMin&lt;=$AE$16)*(BkEndMin&gt;$AE$16)*(P$2&lt;&gt;""))</f>
        <v>0</v>
      </c>
      <c r="Q34" s="96" t="n">
        <f aca="false">SUMPRODUCT((BkRoom=Q$2)*(BkDate=SelDate)*(BkStartMin&lt;=$AE$16)*(BkEndMin&gt;$AE$16)*(Q$2&lt;&gt;""))</f>
        <v>0</v>
      </c>
      <c r="R34" s="96" t="n">
        <f aca="false">SUMPRODUCT((BkRoom=R$2)*(BkDate=SelDate)*(BkStartMin&lt;=$AE$16)*(BkEndMin&gt;$AE$16)*(R$2&lt;&gt;""))</f>
        <v>0</v>
      </c>
      <c r="S34" s="96" t="n">
        <f aca="false">SUMPRODUCT((BkRoom=S$2)*(BkDate=SelDate)*(BkStartMin&lt;=$AE$16)*(BkEndMin&gt;$AE$16)*(S$2&lt;&gt;""))</f>
        <v>0</v>
      </c>
      <c r="T34" s="96" t="n">
        <f aca="false">SUMPRODUCT((BkRoom=T$2)*(BkDate=SelDate)*(BkStartMin&lt;=$AE$16)*(BkEndMin&gt;$AE$16)*(T$2&lt;&gt;""))</f>
        <v>0</v>
      </c>
      <c r="U34" s="96" t="n">
        <f aca="false">SUMPRODUCT((BkRoom=U$2)*(BkDate=SelDate)*(BkStartMin&lt;=$AE$16)*(BkEndMin&gt;$AE$16)*(U$2&lt;&gt;""))</f>
        <v>0</v>
      </c>
      <c r="V34" s="96" t="n">
        <f aca="false">SUMPRODUCT((BkRoom=V$2)*(BkDate=SelDate)*(BkStartMin&lt;=$AE$16)*(BkEndMin&gt;$AE$16)*(V$2&lt;&gt;""))</f>
        <v>0</v>
      </c>
      <c r="W34" s="96" t="n">
        <f aca="false">SUMPRODUCT((BkRoom=W$2)*(BkDate=SelDate)*(BkStartMin&lt;=$AE$16)*(BkEndMin&gt;$AE$16)*(W$2&lt;&gt;""))</f>
        <v>0</v>
      </c>
      <c r="X34" s="96" t="n">
        <f aca="false">SUMPRODUCT((BkRoom=X$2)*(BkDate=SelDate)*(BkStartMin&lt;=$AE$16)*(BkEndMin&gt;$AE$16)*(X$2&lt;&gt;""))</f>
        <v>0</v>
      </c>
      <c r="Z34" s="98" t="n">
        <f aca="false">IF(Bookings!$C34="","",IFERROR(INDEX(RoomSeats,MATCH(Bookings!$C34,RoomList,0)),""))</f>
        <v>12</v>
      </c>
      <c r="AA34" s="98" t="n">
        <f aca="false">IF(Bookings!$D34="",-1,ROUND(Bookings!$D34*1440,0))</f>
        <v>630</v>
      </c>
      <c r="AB34" s="98" t="n">
        <f aca="false">IF(Bookings!$E34="",-1,ROUND(Bookings!$E34*1440,0))</f>
        <v>720</v>
      </c>
    </row>
    <row r="35" customFormat="false" ht="15" hidden="false" customHeight="false" outlineLevel="0" collapsed="false">
      <c r="A35" s="97" t="n">
        <f aca="false">$AE17/1440</f>
        <v>0.666666666666667</v>
      </c>
      <c r="B35" s="96" t="n">
        <f aca="false">SUMPRODUCT((BkRoom=SelRoom)*(BkDate=B$2)*(BkStartMin&lt;=$AE$17)*(BkEndMin&gt;$AE$17))</f>
        <v>0</v>
      </c>
      <c r="C35" s="96" t="n">
        <f aca="false">SUMPRODUCT((BkRoom=SelRoom)*(BkDate=C$2)*(BkStartMin&lt;=$AE$17)*(BkEndMin&gt;$AE$17))</f>
        <v>1</v>
      </c>
      <c r="D35" s="96" t="n">
        <f aca="false">SUMPRODUCT((BkRoom=SelRoom)*(BkDate=D$2)*(BkStartMin&lt;=$AE$17)*(BkEndMin&gt;$AE$17))</f>
        <v>0</v>
      </c>
      <c r="E35" s="96" t="n">
        <f aca="false">SUMPRODUCT((BkRoom=SelRoom)*(BkDate=E$2)*(BkStartMin&lt;=$AE$17)*(BkEndMin&gt;$AE$17))</f>
        <v>1</v>
      </c>
      <c r="F35" s="96" t="n">
        <f aca="false">SUMPRODUCT((BkRoom=SelRoom)*(BkDate=F$2)*(BkStartMin&lt;=$AE$17)*(BkEndMin&gt;$AE$17))</f>
        <v>0</v>
      </c>
      <c r="G35" s="96" t="n">
        <f aca="false">SUMPRODUCT((BkRoom=SelRoom)*(BkDate=G$2)*(BkStartMin&lt;=$AE$17)*(BkEndMin&gt;$AE$17))</f>
        <v>0</v>
      </c>
      <c r="H35" s="96" t="n">
        <f aca="false">SUMPRODUCT((BkRoom=SelRoom)*(BkDate=H$2)*(BkStartMin&lt;=$AE$17)*(BkEndMin&gt;$AE$17))</f>
        <v>0</v>
      </c>
      <c r="I35" s="96" t="n">
        <f aca="false">SUMPRODUCT((BkRoom=SelRoom)*(BkDate=I$2)*(BkStartMin&lt;=$AE$17)*(BkEndMin&gt;$AE$17))</f>
        <v>0</v>
      </c>
      <c r="J35" s="96" t="n">
        <f aca="false">SUMPRODUCT((BkRoom=SelRoom)*(BkDate=J$2)*(BkStartMin&lt;=$AE$17)*(BkEndMin&gt;$AE$17))</f>
        <v>0</v>
      </c>
      <c r="K35" s="96" t="n">
        <f aca="false">SUMPRODUCT((BkRoom=SelRoom)*(BkDate=K$2)*(BkStartMin&lt;=$AE$17)*(BkEndMin&gt;$AE$17))</f>
        <v>0</v>
      </c>
      <c r="M35" s="96" t="n">
        <f aca="false">SUMPRODUCT((BkRoom=M$2)*(BkDate=SelDate)*(BkStartMin&lt;=$AE$17)*(BkEndMin&gt;$AE$17)*(M$2&lt;&gt;""))</f>
        <v>0</v>
      </c>
      <c r="N35" s="96" t="n">
        <f aca="false">SUMPRODUCT((BkRoom=N$2)*(BkDate=SelDate)*(BkStartMin&lt;=$AE$17)*(BkEndMin&gt;$AE$17)*(N$2&lt;&gt;""))</f>
        <v>0</v>
      </c>
      <c r="O35" s="96" t="n">
        <f aca="false">SUMPRODUCT((BkRoom=O$2)*(BkDate=SelDate)*(BkStartMin&lt;=$AE$17)*(BkEndMin&gt;$AE$17)*(O$2&lt;&gt;""))</f>
        <v>0</v>
      </c>
      <c r="P35" s="96" t="n">
        <f aca="false">SUMPRODUCT((BkRoom=P$2)*(BkDate=SelDate)*(BkStartMin&lt;=$AE$17)*(BkEndMin&gt;$AE$17)*(P$2&lt;&gt;""))</f>
        <v>0</v>
      </c>
      <c r="Q35" s="96" t="n">
        <f aca="false">SUMPRODUCT((BkRoom=Q$2)*(BkDate=SelDate)*(BkStartMin&lt;=$AE$17)*(BkEndMin&gt;$AE$17)*(Q$2&lt;&gt;""))</f>
        <v>0</v>
      </c>
      <c r="R35" s="96" t="n">
        <f aca="false">SUMPRODUCT((BkRoom=R$2)*(BkDate=SelDate)*(BkStartMin&lt;=$AE$17)*(BkEndMin&gt;$AE$17)*(R$2&lt;&gt;""))</f>
        <v>0</v>
      </c>
      <c r="S35" s="96" t="n">
        <f aca="false">SUMPRODUCT((BkRoom=S$2)*(BkDate=SelDate)*(BkStartMin&lt;=$AE$17)*(BkEndMin&gt;$AE$17)*(S$2&lt;&gt;""))</f>
        <v>0</v>
      </c>
      <c r="T35" s="96" t="n">
        <f aca="false">SUMPRODUCT((BkRoom=T$2)*(BkDate=SelDate)*(BkStartMin&lt;=$AE$17)*(BkEndMin&gt;$AE$17)*(T$2&lt;&gt;""))</f>
        <v>0</v>
      </c>
      <c r="U35" s="96" t="n">
        <f aca="false">SUMPRODUCT((BkRoom=U$2)*(BkDate=SelDate)*(BkStartMin&lt;=$AE$17)*(BkEndMin&gt;$AE$17)*(U$2&lt;&gt;""))</f>
        <v>0</v>
      </c>
      <c r="V35" s="96" t="n">
        <f aca="false">SUMPRODUCT((BkRoom=V$2)*(BkDate=SelDate)*(BkStartMin&lt;=$AE$17)*(BkEndMin&gt;$AE$17)*(V$2&lt;&gt;""))</f>
        <v>0</v>
      </c>
      <c r="W35" s="96" t="n">
        <f aca="false">SUMPRODUCT((BkRoom=W$2)*(BkDate=SelDate)*(BkStartMin&lt;=$AE$17)*(BkEndMin&gt;$AE$17)*(W$2&lt;&gt;""))</f>
        <v>0</v>
      </c>
      <c r="X35" s="96" t="n">
        <f aca="false">SUMPRODUCT((BkRoom=X$2)*(BkDate=SelDate)*(BkStartMin&lt;=$AE$17)*(BkEndMin&gt;$AE$17)*(X$2&lt;&gt;""))</f>
        <v>0</v>
      </c>
      <c r="Z35" s="98" t="n">
        <f aca="false">IF(Bookings!$C35="","",IFERROR(INDEX(RoomSeats,MATCH(Bookings!$C35,RoomList,0)),""))</f>
        <v>2</v>
      </c>
      <c r="AA35" s="98" t="n">
        <f aca="false">IF(Bookings!$D35="",-1,ROUND(Bookings!$D35*1440,0))</f>
        <v>630</v>
      </c>
      <c r="AB35" s="98" t="n">
        <f aca="false">IF(Bookings!$E35="",-1,ROUND(Bookings!$E35*1440,0))</f>
        <v>690</v>
      </c>
    </row>
    <row r="36" customFormat="false" ht="15" hidden="false" customHeight="false" outlineLevel="0" collapsed="false">
      <c r="A36" s="97" t="n">
        <f aca="false">$AE18/1440</f>
        <v>0.6875</v>
      </c>
      <c r="B36" s="96" t="n">
        <f aca="false">SUMPRODUCT((BkRoom=SelRoom)*(BkDate=B$2)*(BkStartMin&lt;=$AE$18)*(BkEndMin&gt;$AE$18))</f>
        <v>0</v>
      </c>
      <c r="C36" s="96" t="n">
        <f aca="false">SUMPRODUCT((BkRoom=SelRoom)*(BkDate=C$2)*(BkStartMin&lt;=$AE$18)*(BkEndMin&gt;$AE$18))</f>
        <v>0</v>
      </c>
      <c r="D36" s="96" t="n">
        <f aca="false">SUMPRODUCT((BkRoom=SelRoom)*(BkDate=D$2)*(BkStartMin&lt;=$AE$18)*(BkEndMin&gt;$AE$18))</f>
        <v>0</v>
      </c>
      <c r="E36" s="96" t="n">
        <f aca="false">SUMPRODUCT((BkRoom=SelRoom)*(BkDate=E$2)*(BkStartMin&lt;=$AE$18)*(BkEndMin&gt;$AE$18))</f>
        <v>0</v>
      </c>
      <c r="F36" s="96" t="n">
        <f aca="false">SUMPRODUCT((BkRoom=SelRoom)*(BkDate=F$2)*(BkStartMin&lt;=$AE$18)*(BkEndMin&gt;$AE$18))</f>
        <v>0</v>
      </c>
      <c r="G36" s="96" t="n">
        <f aca="false">SUMPRODUCT((BkRoom=SelRoom)*(BkDate=G$2)*(BkStartMin&lt;=$AE$18)*(BkEndMin&gt;$AE$18))</f>
        <v>0</v>
      </c>
      <c r="H36" s="96" t="n">
        <f aca="false">SUMPRODUCT((BkRoom=SelRoom)*(BkDate=H$2)*(BkStartMin&lt;=$AE$18)*(BkEndMin&gt;$AE$18))</f>
        <v>0</v>
      </c>
      <c r="I36" s="96" t="n">
        <f aca="false">SUMPRODUCT((BkRoom=SelRoom)*(BkDate=I$2)*(BkStartMin&lt;=$AE$18)*(BkEndMin&gt;$AE$18))</f>
        <v>0</v>
      </c>
      <c r="J36" s="96" t="n">
        <f aca="false">SUMPRODUCT((BkRoom=SelRoom)*(BkDate=J$2)*(BkStartMin&lt;=$AE$18)*(BkEndMin&gt;$AE$18))</f>
        <v>0</v>
      </c>
      <c r="K36" s="96" t="n">
        <f aca="false">SUMPRODUCT((BkRoom=SelRoom)*(BkDate=K$2)*(BkStartMin&lt;=$AE$18)*(BkEndMin&gt;$AE$18))</f>
        <v>0</v>
      </c>
      <c r="M36" s="96" t="n">
        <f aca="false">SUMPRODUCT((BkRoom=M$2)*(BkDate=SelDate)*(BkStartMin&lt;=$AE$18)*(BkEndMin&gt;$AE$18)*(M$2&lt;&gt;""))</f>
        <v>0</v>
      </c>
      <c r="N36" s="96" t="n">
        <f aca="false">SUMPRODUCT((BkRoom=N$2)*(BkDate=SelDate)*(BkStartMin&lt;=$AE$18)*(BkEndMin&gt;$AE$18)*(N$2&lt;&gt;""))</f>
        <v>0</v>
      </c>
      <c r="O36" s="96" t="n">
        <f aca="false">SUMPRODUCT((BkRoom=O$2)*(BkDate=SelDate)*(BkStartMin&lt;=$AE$18)*(BkEndMin&gt;$AE$18)*(O$2&lt;&gt;""))</f>
        <v>0</v>
      </c>
      <c r="P36" s="96" t="n">
        <f aca="false">SUMPRODUCT((BkRoom=P$2)*(BkDate=SelDate)*(BkStartMin&lt;=$AE$18)*(BkEndMin&gt;$AE$18)*(P$2&lt;&gt;""))</f>
        <v>0</v>
      </c>
      <c r="Q36" s="96" t="n">
        <f aca="false">SUMPRODUCT((BkRoom=Q$2)*(BkDate=SelDate)*(BkStartMin&lt;=$AE$18)*(BkEndMin&gt;$AE$18)*(Q$2&lt;&gt;""))</f>
        <v>0</v>
      </c>
      <c r="R36" s="96" t="n">
        <f aca="false">SUMPRODUCT((BkRoom=R$2)*(BkDate=SelDate)*(BkStartMin&lt;=$AE$18)*(BkEndMin&gt;$AE$18)*(R$2&lt;&gt;""))</f>
        <v>0</v>
      </c>
      <c r="S36" s="96" t="n">
        <f aca="false">SUMPRODUCT((BkRoom=S$2)*(BkDate=SelDate)*(BkStartMin&lt;=$AE$18)*(BkEndMin&gt;$AE$18)*(S$2&lt;&gt;""))</f>
        <v>0</v>
      </c>
      <c r="T36" s="96" t="n">
        <f aca="false">SUMPRODUCT((BkRoom=T$2)*(BkDate=SelDate)*(BkStartMin&lt;=$AE$18)*(BkEndMin&gt;$AE$18)*(T$2&lt;&gt;""))</f>
        <v>0</v>
      </c>
      <c r="U36" s="96" t="n">
        <f aca="false">SUMPRODUCT((BkRoom=U$2)*(BkDate=SelDate)*(BkStartMin&lt;=$AE$18)*(BkEndMin&gt;$AE$18)*(U$2&lt;&gt;""))</f>
        <v>0</v>
      </c>
      <c r="V36" s="96" t="n">
        <f aca="false">SUMPRODUCT((BkRoom=V$2)*(BkDate=SelDate)*(BkStartMin&lt;=$AE$18)*(BkEndMin&gt;$AE$18)*(V$2&lt;&gt;""))</f>
        <v>0</v>
      </c>
      <c r="W36" s="96" t="n">
        <f aca="false">SUMPRODUCT((BkRoom=W$2)*(BkDate=SelDate)*(BkStartMin&lt;=$AE$18)*(BkEndMin&gt;$AE$18)*(W$2&lt;&gt;""))</f>
        <v>0</v>
      </c>
      <c r="X36" s="96" t="n">
        <f aca="false">SUMPRODUCT((BkRoom=X$2)*(BkDate=SelDate)*(BkStartMin&lt;=$AE$18)*(BkEndMin&gt;$AE$18)*(X$2&lt;&gt;""))</f>
        <v>0</v>
      </c>
      <c r="Z36" s="98" t="n">
        <f aca="false">IF(Bookings!$C36="","",IFERROR(INDEX(RoomSeats,MATCH(Bookings!$C36,RoomList,0)),""))</f>
        <v>8</v>
      </c>
      <c r="AA36" s="98" t="n">
        <f aca="false">IF(Bookings!$D36="",-1,ROUND(Bookings!$D36*1440,0))</f>
        <v>660</v>
      </c>
      <c r="AB36" s="98" t="n">
        <f aca="false">IF(Bookings!$E36="",-1,ROUND(Bookings!$E36*1440,0))</f>
        <v>720</v>
      </c>
    </row>
    <row r="37" customFormat="false" ht="15" hidden="false" customHeight="false" outlineLevel="0" collapsed="false">
      <c r="Z37" s="98" t="n">
        <f aca="false">IF(Bookings!$C37="","",IFERROR(INDEX(RoomSeats,MATCH(Bookings!$C37,RoomList,0)),""))</f>
        <v>4</v>
      </c>
      <c r="AA37" s="98" t="n">
        <f aca="false">IF(Bookings!$D37="",-1,ROUND(Bookings!$D37*1440,0))</f>
        <v>660</v>
      </c>
      <c r="AB37" s="98" t="n">
        <f aca="false">IF(Bookings!$E37="",-1,ROUND(Bookings!$E37*1440,0))</f>
        <v>720</v>
      </c>
    </row>
    <row r="38" customFormat="false" ht="15" hidden="false" customHeight="false" outlineLevel="0" collapsed="false">
      <c r="Z38" s="98" t="n">
        <f aca="false">IF(Bookings!$C38="","",IFERROR(INDEX(RoomSeats,MATCH(Bookings!$C38,RoomList,0)),""))</f>
        <v>6</v>
      </c>
      <c r="AA38" s="98" t="n">
        <f aca="false">IF(Bookings!$D38="",-1,ROUND(Bookings!$D38*1440,0))</f>
        <v>810</v>
      </c>
      <c r="AB38" s="98" t="n">
        <f aca="false">IF(Bookings!$E38="",-1,ROUND(Bookings!$E38*1440,0))</f>
        <v>870</v>
      </c>
    </row>
    <row r="39" customFormat="false" ht="15" hidden="false" customHeight="false" outlineLevel="0" collapsed="false">
      <c r="L39" s="0" t="s">
        <v>231</v>
      </c>
      <c r="M39" s="0" t="n">
        <f aca="false">IF(M$2="",-1,COUNTIFS(BkRoom,M$2,BkDate,SelDate))</f>
        <v>0</v>
      </c>
      <c r="N39" s="0" t="n">
        <f aca="false">IF(N$2="",-1,COUNTIFS(BkRoom,N$2,BkDate,SelDate))</f>
        <v>2</v>
      </c>
      <c r="O39" s="0" t="n">
        <f aca="false">IF(O$2="",-1,COUNTIFS(BkRoom,O$2,BkDate,SelDate))</f>
        <v>0</v>
      </c>
      <c r="P39" s="0" t="n">
        <f aca="false">IF(P$2="",-1,COUNTIFS(BkRoom,P$2,BkDate,SelDate))</f>
        <v>2</v>
      </c>
      <c r="Q39" s="0" t="n">
        <f aca="false">IF(Q$2="",-1,COUNTIFS(BkRoom,Q$2,BkDate,SelDate))</f>
        <v>2</v>
      </c>
      <c r="R39" s="0" t="n">
        <f aca="false">IF(R$2="",-1,COUNTIFS(BkRoom,R$2,BkDate,SelDate))</f>
        <v>6</v>
      </c>
      <c r="S39" s="0" t="n">
        <f aca="false">IF(S$2="",-1,COUNTIFS(BkRoom,S$2,BkDate,SelDate))</f>
        <v>-1</v>
      </c>
      <c r="T39" s="0" t="n">
        <f aca="false">IF(T$2="",-1,COUNTIFS(BkRoom,T$2,BkDate,SelDate))</f>
        <v>-1</v>
      </c>
      <c r="U39" s="0" t="n">
        <f aca="false">IF(U$2="",-1,COUNTIFS(BkRoom,U$2,BkDate,SelDate))</f>
        <v>-1</v>
      </c>
      <c r="V39" s="0" t="n">
        <f aca="false">IF(V$2="",-1,COUNTIFS(BkRoom,V$2,BkDate,SelDate))</f>
        <v>-1</v>
      </c>
      <c r="W39" s="0" t="n">
        <f aca="false">IF(W$2="",-1,COUNTIFS(BkRoom,W$2,BkDate,SelDate))</f>
        <v>-1</v>
      </c>
      <c r="X39" s="0" t="n">
        <f aca="false">IF(X$2="",-1,COUNTIFS(BkRoom,X$2,BkDate,SelDate))</f>
        <v>-1</v>
      </c>
      <c r="Z39" s="98" t="n">
        <f aca="false">IF(Bookings!$C39="","",IFERROR(INDEX(RoomSeats,MATCH(Bookings!$C39,RoomList,0)),""))</f>
        <v>2</v>
      </c>
      <c r="AA39" s="98" t="n">
        <f aca="false">IF(Bookings!$D39="",-1,ROUND(Bookings!$D39*1440,0))</f>
        <v>810</v>
      </c>
      <c r="AB39" s="98" t="n">
        <f aca="false">IF(Bookings!$E39="",-1,ROUND(Bookings!$E39*1440,0))</f>
        <v>840</v>
      </c>
    </row>
    <row r="40" customFormat="false" ht="15" hidden="false" customHeight="false" outlineLevel="0" collapsed="false">
      <c r="Z40" s="98" t="n">
        <f aca="false">IF(Bookings!$C40="","",IFERROR(INDEX(RoomSeats,MATCH(Bookings!$C40,RoomList,0)),""))</f>
        <v>8</v>
      </c>
      <c r="AA40" s="98" t="n">
        <f aca="false">IF(Bookings!$D40="",-1,ROUND(Bookings!$D40*1440,0))</f>
        <v>840</v>
      </c>
      <c r="AB40" s="98" t="n">
        <f aca="false">IF(Bookings!$E40="",-1,ROUND(Bookings!$E40*1440,0))</f>
        <v>900</v>
      </c>
    </row>
    <row r="41" customFormat="false" ht="15" hidden="false" customHeight="false" outlineLevel="0" collapsed="false">
      <c r="Z41" s="98" t="n">
        <f aca="false">IF(Bookings!$C41="","",IFERROR(INDEX(RoomSeats,MATCH(Bookings!$C41,RoomList,0)),""))</f>
        <v>2</v>
      </c>
      <c r="AA41" s="98" t="n">
        <f aca="false">IF(Bookings!$D41="",-1,ROUND(Bookings!$D41*1440,0))</f>
        <v>840</v>
      </c>
      <c r="AB41" s="98" t="n">
        <f aca="false">IF(Bookings!$E41="",-1,ROUND(Bookings!$E41*1440,0))</f>
        <v>870</v>
      </c>
    </row>
    <row r="42" customFormat="false" ht="15" hidden="false" customHeight="false" outlineLevel="0" collapsed="false">
      <c r="Z42" s="98" t="n">
        <f aca="false">IF(Bookings!$C42="","",IFERROR(INDEX(RoomSeats,MATCH(Bookings!$C42,RoomList,0)),""))</f>
        <v>12</v>
      </c>
      <c r="AA42" s="98" t="n">
        <f aca="false">IF(Bookings!$D42="",-1,ROUND(Bookings!$D42*1440,0))</f>
        <v>870</v>
      </c>
      <c r="AB42" s="98" t="n">
        <f aca="false">IF(Bookings!$E42="",-1,ROUND(Bookings!$E42*1440,0))</f>
        <v>930</v>
      </c>
    </row>
    <row r="43" customFormat="false" ht="15" hidden="false" customHeight="false" outlineLevel="0" collapsed="false">
      <c r="Z43" s="98" t="n">
        <f aca="false">IF(Bookings!$C43="","",IFERROR(INDEX(RoomSeats,MATCH(Bookings!$C43,RoomList,0)),""))</f>
        <v>14</v>
      </c>
      <c r="AA43" s="98" t="n">
        <f aca="false">IF(Bookings!$D43="",-1,ROUND(Bookings!$D43*1440,0))</f>
        <v>900</v>
      </c>
      <c r="AB43" s="98" t="n">
        <f aca="false">IF(Bookings!$E43="",-1,ROUND(Bookings!$E43*1440,0))</f>
        <v>960</v>
      </c>
    </row>
    <row r="44" customFormat="false" ht="15" hidden="false" customHeight="false" outlineLevel="0" collapsed="false">
      <c r="Z44" s="98" t="n">
        <f aca="false">IF(Bookings!$C44="","",IFERROR(INDEX(RoomSeats,MATCH(Bookings!$C44,RoomList,0)),""))</f>
        <v>12</v>
      </c>
      <c r="AA44" s="98" t="n">
        <f aca="false">IF(Bookings!$D44="",-1,ROUND(Bookings!$D44*1440,0))</f>
        <v>930</v>
      </c>
      <c r="AB44" s="98" t="n">
        <f aca="false">IF(Bookings!$E44="",-1,ROUND(Bookings!$E44*1440,0))</f>
        <v>960</v>
      </c>
    </row>
    <row r="45" customFormat="false" ht="15" hidden="false" customHeight="false" outlineLevel="0" collapsed="false">
      <c r="Z45" s="98" t="n">
        <f aca="false">IF(Bookings!$C45="","",IFERROR(INDEX(RoomSeats,MATCH(Bookings!$C45,RoomList,0)),""))</f>
        <v>12</v>
      </c>
      <c r="AA45" s="98" t="n">
        <f aca="false">IF(Bookings!$D45="",-1,ROUND(Bookings!$D45*1440,0))</f>
        <v>570</v>
      </c>
      <c r="AB45" s="98" t="n">
        <f aca="false">IF(Bookings!$E45="",-1,ROUND(Bookings!$E45*1440,0))</f>
        <v>600</v>
      </c>
    </row>
    <row r="46" customFormat="false" ht="15" hidden="false" customHeight="false" outlineLevel="0" collapsed="false">
      <c r="Z46" s="98" t="n">
        <f aca="false">IF(Bookings!$C46="","",IFERROR(INDEX(RoomSeats,MATCH(Bookings!$C46,RoomList,0)),""))</f>
        <v>14</v>
      </c>
      <c r="AA46" s="98" t="n">
        <f aca="false">IF(Bookings!$D46="",-1,ROUND(Bookings!$D46*1440,0))</f>
        <v>570</v>
      </c>
      <c r="AB46" s="98" t="n">
        <f aca="false">IF(Bookings!$E46="",-1,ROUND(Bookings!$E46*1440,0))</f>
        <v>630</v>
      </c>
    </row>
    <row r="47" customFormat="false" ht="15" hidden="false" customHeight="false" outlineLevel="0" collapsed="false">
      <c r="Z47" s="98" t="n">
        <f aca="false">IF(Bookings!$C47="","",IFERROR(INDEX(RoomSeats,MATCH(Bookings!$C47,RoomList,0)),""))</f>
        <v>12</v>
      </c>
      <c r="AA47" s="98" t="n">
        <f aca="false">IF(Bookings!$D47="",-1,ROUND(Bookings!$D47*1440,0))</f>
        <v>630</v>
      </c>
      <c r="AB47" s="98" t="n">
        <f aca="false">IF(Bookings!$E47="",-1,ROUND(Bookings!$E47*1440,0))</f>
        <v>660</v>
      </c>
    </row>
    <row r="48" customFormat="false" ht="15" hidden="false" customHeight="false" outlineLevel="0" collapsed="false">
      <c r="Z48" s="98" t="n">
        <f aca="false">IF(Bookings!$C48="","",IFERROR(INDEX(RoomSeats,MATCH(Bookings!$C48,RoomList,0)),""))</f>
        <v>8</v>
      </c>
      <c r="AA48" s="98" t="n">
        <f aca="false">IF(Bookings!$D48="",-1,ROUND(Bookings!$D48*1440,0))</f>
        <v>630</v>
      </c>
      <c r="AB48" s="98" t="n">
        <f aca="false">IF(Bookings!$E48="",-1,ROUND(Bookings!$E48*1440,0))</f>
        <v>690</v>
      </c>
    </row>
    <row r="49" customFormat="false" ht="15" hidden="false" customHeight="false" outlineLevel="0" collapsed="false">
      <c r="Z49" s="98" t="n">
        <f aca="false">IF(Bookings!$C49="","",IFERROR(INDEX(RoomSeats,MATCH(Bookings!$C49,RoomList,0)),""))</f>
        <v>4</v>
      </c>
      <c r="AA49" s="98" t="n">
        <f aca="false">IF(Bookings!$D49="",-1,ROUND(Bookings!$D49*1440,0))</f>
        <v>630</v>
      </c>
      <c r="AB49" s="98" t="n">
        <f aca="false">IF(Bookings!$E49="",-1,ROUND(Bookings!$E49*1440,0))</f>
        <v>660</v>
      </c>
    </row>
    <row r="50" customFormat="false" ht="15" hidden="false" customHeight="false" outlineLevel="0" collapsed="false">
      <c r="Z50" s="98" t="n">
        <f aca="false">IF(Bookings!$C50="","",IFERROR(INDEX(RoomSeats,MATCH(Bookings!$C50,RoomList,0)),""))</f>
        <v>6</v>
      </c>
      <c r="AA50" s="98" t="n">
        <f aca="false">IF(Bookings!$D50="",-1,ROUND(Bookings!$D50*1440,0))</f>
        <v>660</v>
      </c>
      <c r="AB50" s="98" t="n">
        <f aca="false">IF(Bookings!$E50="",-1,ROUND(Bookings!$E50*1440,0))</f>
        <v>750</v>
      </c>
    </row>
    <row r="51" customFormat="false" ht="15" hidden="false" customHeight="false" outlineLevel="0" collapsed="false">
      <c r="Z51" s="98" t="n">
        <f aca="false">IF(Bookings!$C51="","",IFERROR(INDEX(RoomSeats,MATCH(Bookings!$C51,RoomList,0)),""))</f>
        <v>12</v>
      </c>
      <c r="AA51" s="98" t="n">
        <f aca="false">IF(Bookings!$D51="",-1,ROUND(Bookings!$D51*1440,0))</f>
        <v>780</v>
      </c>
      <c r="AB51" s="98" t="n">
        <f aca="false">IF(Bookings!$E51="",-1,ROUND(Bookings!$E51*1440,0))</f>
        <v>840</v>
      </c>
    </row>
    <row r="52" customFormat="false" ht="15" hidden="false" customHeight="false" outlineLevel="0" collapsed="false">
      <c r="Z52" s="98" t="n">
        <f aca="false">IF(Bookings!$C52="","",IFERROR(INDEX(RoomSeats,MATCH(Bookings!$C52,RoomList,0)),""))</f>
        <v>12</v>
      </c>
      <c r="AA52" s="98" t="n">
        <f aca="false">IF(Bookings!$D52="",-1,ROUND(Bookings!$D52*1440,0))</f>
        <v>840</v>
      </c>
      <c r="AB52" s="98" t="n">
        <f aca="false">IF(Bookings!$E52="",-1,ROUND(Bookings!$E52*1440,0))</f>
        <v>900</v>
      </c>
    </row>
    <row r="53" customFormat="false" ht="15" hidden="false" customHeight="false" outlineLevel="0" collapsed="false">
      <c r="Z53" s="98" t="n">
        <f aca="false">IF(Bookings!$C53="","",IFERROR(INDEX(RoomSeats,MATCH(Bookings!$C53,RoomList,0)),""))</f>
        <v>12</v>
      </c>
      <c r="AA53" s="98" t="n">
        <f aca="false">IF(Bookings!$D53="",-1,ROUND(Bookings!$D53*1440,0))</f>
        <v>900</v>
      </c>
      <c r="AB53" s="98" t="n">
        <f aca="false">IF(Bookings!$E53="",-1,ROUND(Bookings!$E53*1440,0))</f>
        <v>990</v>
      </c>
    </row>
    <row r="54" customFormat="false" ht="15" hidden="false" customHeight="false" outlineLevel="0" collapsed="false">
      <c r="Z54" s="98" t="n">
        <f aca="false">IF(Bookings!$C54="","",IFERROR(INDEX(RoomSeats,MATCH(Bookings!$C54,RoomList,0)),""))</f>
        <v>8</v>
      </c>
      <c r="AA54" s="98" t="n">
        <f aca="false">IF(Bookings!$D54="",-1,ROUND(Bookings!$D54*1440,0))</f>
        <v>900</v>
      </c>
      <c r="AB54" s="98" t="n">
        <f aca="false">IF(Bookings!$E54="",-1,ROUND(Bookings!$E54*1440,0))</f>
        <v>960</v>
      </c>
    </row>
    <row r="55" customFormat="false" ht="15" hidden="false" customHeight="false" outlineLevel="0" collapsed="false">
      <c r="Z55" s="98" t="n">
        <f aca="false">IF(Bookings!$C55="","",IFERROR(INDEX(RoomSeats,MATCH(Bookings!$C55,RoomList,0)),""))</f>
        <v>4</v>
      </c>
      <c r="AA55" s="98" t="n">
        <f aca="false">IF(Bookings!$D55="",-1,ROUND(Bookings!$D55*1440,0))</f>
        <v>900</v>
      </c>
      <c r="AB55" s="98" t="n">
        <f aca="false">IF(Bookings!$E55="",-1,ROUND(Bookings!$E55*1440,0))</f>
        <v>960</v>
      </c>
    </row>
    <row r="56" customFormat="false" ht="15" hidden="false" customHeight="false" outlineLevel="0" collapsed="false">
      <c r="Z56" s="98" t="n">
        <f aca="false">IF(Bookings!$C56="","",IFERROR(INDEX(RoomSeats,MATCH(Bookings!$C56,RoomList,0)),""))</f>
        <v>2</v>
      </c>
      <c r="AA56" s="98" t="n">
        <f aca="false">IF(Bookings!$D56="",-1,ROUND(Bookings!$D56*1440,0))</f>
        <v>930</v>
      </c>
      <c r="AB56" s="98" t="n">
        <f aca="false">IF(Bookings!$E56="",-1,ROUND(Bookings!$E56*1440,0))</f>
        <v>960</v>
      </c>
    </row>
    <row r="57" customFormat="false" ht="15" hidden="false" customHeight="false" outlineLevel="0" collapsed="false">
      <c r="Z57" s="98" t="n">
        <f aca="false">IF(Bookings!$C57="","",IFERROR(INDEX(RoomSeats,MATCH(Bookings!$C57,RoomList,0)),""))</f>
        <v>6</v>
      </c>
      <c r="AA57" s="98" t="n">
        <f aca="false">IF(Bookings!$D57="",-1,ROUND(Bookings!$D57*1440,0))</f>
        <v>570</v>
      </c>
      <c r="AB57" s="98" t="n">
        <f aca="false">IF(Bookings!$E57="",-1,ROUND(Bookings!$E57*1440,0))</f>
        <v>630</v>
      </c>
    </row>
    <row r="58" customFormat="false" ht="15" hidden="false" customHeight="false" outlineLevel="0" collapsed="false">
      <c r="Z58" s="98" t="n">
        <f aca="false">IF(Bookings!$C58="","",IFERROR(INDEX(RoomSeats,MATCH(Bookings!$C58,RoomList,0)),""))</f>
        <v>2</v>
      </c>
      <c r="AA58" s="98" t="n">
        <f aca="false">IF(Bookings!$D58="",-1,ROUND(Bookings!$D58*1440,0))</f>
        <v>570</v>
      </c>
      <c r="AB58" s="98" t="n">
        <f aca="false">IF(Bookings!$E58="",-1,ROUND(Bookings!$E58*1440,0))</f>
        <v>600</v>
      </c>
    </row>
    <row r="59" customFormat="false" ht="15" hidden="false" customHeight="false" outlineLevel="0" collapsed="false">
      <c r="Z59" s="98" t="n">
        <f aca="false">IF(Bookings!$C59="","",IFERROR(INDEX(RoomSeats,MATCH(Bookings!$C59,RoomList,0)),""))</f>
        <v>4</v>
      </c>
      <c r="AA59" s="98" t="n">
        <f aca="false">IF(Bookings!$D59="",-1,ROUND(Bookings!$D59*1440,0))</f>
        <v>630</v>
      </c>
      <c r="AB59" s="98" t="n">
        <f aca="false">IF(Bookings!$E59="",-1,ROUND(Bookings!$E59*1440,0))</f>
        <v>660</v>
      </c>
    </row>
    <row r="60" customFormat="false" ht="15" hidden="false" customHeight="false" outlineLevel="0" collapsed="false">
      <c r="Z60" s="98" t="n">
        <f aca="false">IF(Bookings!$C60="","",IFERROR(INDEX(RoomSeats,MATCH(Bookings!$C60,RoomList,0)),""))</f>
        <v>2</v>
      </c>
      <c r="AA60" s="98" t="n">
        <f aca="false">IF(Bookings!$D60="",-1,ROUND(Bookings!$D60*1440,0))</f>
        <v>630</v>
      </c>
      <c r="AB60" s="98" t="n">
        <f aca="false">IF(Bookings!$E60="",-1,ROUND(Bookings!$E60*1440,0))</f>
        <v>660</v>
      </c>
    </row>
    <row r="61" customFormat="false" ht="15" hidden="false" customHeight="false" outlineLevel="0" collapsed="false">
      <c r="Z61" s="98" t="n">
        <f aca="false">IF(Bookings!$C61="","",IFERROR(INDEX(RoomSeats,MATCH(Bookings!$C61,RoomList,0)),""))</f>
        <v>8</v>
      </c>
      <c r="AA61" s="98" t="n">
        <f aca="false">IF(Bookings!$D61="",-1,ROUND(Bookings!$D61*1440,0))</f>
        <v>690</v>
      </c>
      <c r="AB61" s="98" t="n">
        <f aca="false">IF(Bookings!$E61="",-1,ROUND(Bookings!$E61*1440,0))</f>
        <v>750</v>
      </c>
    </row>
    <row r="62" customFormat="false" ht="15" hidden="false" customHeight="false" outlineLevel="0" collapsed="false">
      <c r="Z62" s="98" t="n">
        <f aca="false">IF(Bookings!$C62="","",IFERROR(INDEX(RoomSeats,MATCH(Bookings!$C62,RoomList,0)),""))</f>
        <v>4</v>
      </c>
      <c r="AA62" s="98" t="n">
        <f aca="false">IF(Bookings!$D62="",-1,ROUND(Bookings!$D62*1440,0))</f>
        <v>690</v>
      </c>
      <c r="AB62" s="98" t="n">
        <f aca="false">IF(Bookings!$E62="",-1,ROUND(Bookings!$E62*1440,0))</f>
        <v>750</v>
      </c>
    </row>
    <row r="63" customFormat="false" ht="15" hidden="false" customHeight="false" outlineLevel="0" collapsed="false">
      <c r="Z63" s="98" t="n">
        <f aca="false">IF(Bookings!$C63="","",IFERROR(INDEX(RoomSeats,MATCH(Bookings!$C63,RoomList,0)),""))</f>
        <v>14</v>
      </c>
      <c r="AA63" s="98" t="n">
        <f aca="false">IF(Bookings!$D63="",-1,ROUND(Bookings!$D63*1440,0))</f>
        <v>720</v>
      </c>
      <c r="AB63" s="98" t="n">
        <f aca="false">IF(Bookings!$E63="",-1,ROUND(Bookings!$E63*1440,0))</f>
        <v>840</v>
      </c>
    </row>
    <row r="64" customFormat="false" ht="15" hidden="false" customHeight="false" outlineLevel="0" collapsed="false">
      <c r="Z64" s="98" t="n">
        <f aca="false">IF(Bookings!$C64="","",IFERROR(INDEX(RoomSeats,MATCH(Bookings!$C64,RoomList,0)),""))</f>
        <v>2</v>
      </c>
      <c r="AA64" s="98" t="n">
        <f aca="false">IF(Bookings!$D64="",-1,ROUND(Bookings!$D64*1440,0))</f>
        <v>780</v>
      </c>
      <c r="AB64" s="98" t="n">
        <f aca="false">IF(Bookings!$E64="",-1,ROUND(Bookings!$E64*1440,0))</f>
        <v>810</v>
      </c>
    </row>
    <row r="65" customFormat="false" ht="15" hidden="false" customHeight="false" outlineLevel="0" collapsed="false">
      <c r="Z65" s="98" t="n">
        <f aca="false">IF(Bookings!$C65="","",IFERROR(INDEX(RoomSeats,MATCH(Bookings!$C65,RoomList,0)),""))</f>
        <v>12</v>
      </c>
      <c r="AA65" s="98" t="n">
        <f aca="false">IF(Bookings!$D65="",-1,ROUND(Bookings!$D65*1440,0))</f>
        <v>840</v>
      </c>
      <c r="AB65" s="98" t="n">
        <f aca="false">IF(Bookings!$E65="",-1,ROUND(Bookings!$E65*1440,0))</f>
        <v>900</v>
      </c>
    </row>
    <row r="66" customFormat="false" ht="15" hidden="false" customHeight="false" outlineLevel="0" collapsed="false">
      <c r="Z66" s="98" t="n">
        <f aca="false">IF(Bookings!$C66="","",IFERROR(INDEX(RoomSeats,MATCH(Bookings!$C66,RoomList,0)),""))</f>
        <v>2</v>
      </c>
      <c r="AA66" s="98" t="n">
        <f aca="false">IF(Bookings!$D66="",-1,ROUND(Bookings!$D66*1440,0))</f>
        <v>840</v>
      </c>
      <c r="AB66" s="98" t="n">
        <f aca="false">IF(Bookings!$E66="",-1,ROUND(Bookings!$E66*1440,0))</f>
        <v>900</v>
      </c>
    </row>
    <row r="67" customFormat="false" ht="15" hidden="false" customHeight="false" outlineLevel="0" collapsed="false">
      <c r="Z67" s="98" t="n">
        <f aca="false">IF(Bookings!$C67="","",IFERROR(INDEX(RoomSeats,MATCH(Bookings!$C67,RoomList,0)),""))</f>
        <v>8</v>
      </c>
      <c r="AA67" s="98" t="n">
        <f aca="false">IF(Bookings!$D67="",-1,ROUND(Bookings!$D67*1440,0))</f>
        <v>870</v>
      </c>
      <c r="AB67" s="98" t="n">
        <f aca="false">IF(Bookings!$E67="",-1,ROUND(Bookings!$E67*1440,0))</f>
        <v>990</v>
      </c>
    </row>
    <row r="68" customFormat="false" ht="15" hidden="false" customHeight="false" outlineLevel="0" collapsed="false">
      <c r="Z68" s="98" t="n">
        <f aca="false">IF(Bookings!$C68="","",IFERROR(INDEX(RoomSeats,MATCH(Bookings!$C68,RoomList,0)),""))</f>
        <v>2</v>
      </c>
      <c r="AA68" s="98" t="n">
        <f aca="false">IF(Bookings!$D68="",-1,ROUND(Bookings!$D68*1440,0))</f>
        <v>900</v>
      </c>
      <c r="AB68" s="98" t="n">
        <f aca="false">IF(Bookings!$E68="",-1,ROUND(Bookings!$E68*1440,0))</f>
        <v>930</v>
      </c>
    </row>
    <row r="69" customFormat="false" ht="15" hidden="false" customHeight="false" outlineLevel="0" collapsed="false">
      <c r="Z69" s="98" t="n">
        <f aca="false">IF(Bookings!$C69="","",IFERROR(INDEX(RoomSeats,MATCH(Bookings!$C69,RoomList,0)),""))</f>
        <v>4</v>
      </c>
      <c r="AA69" s="98" t="n">
        <f aca="false">IF(Bookings!$D69="",-1,ROUND(Bookings!$D69*1440,0))</f>
        <v>540</v>
      </c>
      <c r="AB69" s="98" t="n">
        <f aca="false">IF(Bookings!$E69="",-1,ROUND(Bookings!$E69*1440,0))</f>
        <v>600</v>
      </c>
    </row>
    <row r="70" customFormat="false" ht="15" hidden="false" customHeight="false" outlineLevel="0" collapsed="false">
      <c r="Z70" s="98" t="n">
        <f aca="false">IF(Bookings!$C70="","",IFERROR(INDEX(RoomSeats,MATCH(Bookings!$C70,RoomList,0)),""))</f>
        <v>6</v>
      </c>
      <c r="AA70" s="98" t="n">
        <f aca="false">IF(Bookings!$D70="",-1,ROUND(Bookings!$D70*1440,0))</f>
        <v>570</v>
      </c>
      <c r="AB70" s="98" t="n">
        <f aca="false">IF(Bookings!$E70="",-1,ROUND(Bookings!$E70*1440,0))</f>
        <v>630</v>
      </c>
    </row>
    <row r="71" customFormat="false" ht="15" hidden="false" customHeight="false" outlineLevel="0" collapsed="false">
      <c r="Z71" s="98" t="n">
        <f aca="false">IF(Bookings!$C71="","",IFERROR(INDEX(RoomSeats,MATCH(Bookings!$C71,RoomList,0)),""))</f>
        <v>4</v>
      </c>
      <c r="AA71" s="98" t="n">
        <f aca="false">IF(Bookings!$D71="",-1,ROUND(Bookings!$D71*1440,0))</f>
        <v>630</v>
      </c>
      <c r="AB71" s="98" t="n">
        <f aca="false">IF(Bookings!$E71="",-1,ROUND(Bookings!$E71*1440,0))</f>
        <v>690</v>
      </c>
    </row>
    <row r="72" customFormat="false" ht="15" hidden="false" customHeight="false" outlineLevel="0" collapsed="false">
      <c r="Z72" s="98" t="n">
        <f aca="false">IF(Bookings!$C72="","",IFERROR(INDEX(RoomSeats,MATCH(Bookings!$C72,RoomList,0)),""))</f>
        <v>14</v>
      </c>
      <c r="AA72" s="98" t="n">
        <f aca="false">IF(Bookings!$D72="",-1,ROUND(Bookings!$D72*1440,0))</f>
        <v>630</v>
      </c>
      <c r="AB72" s="98" t="n">
        <f aca="false">IF(Bookings!$E72="",-1,ROUND(Bookings!$E72*1440,0))</f>
        <v>720</v>
      </c>
    </row>
    <row r="73" customFormat="false" ht="15" hidden="false" customHeight="false" outlineLevel="0" collapsed="false">
      <c r="Z73" s="98" t="n">
        <f aca="false">IF(Bookings!$C73="","",IFERROR(INDEX(RoomSeats,MATCH(Bookings!$C73,RoomList,0)),""))</f>
        <v>12</v>
      </c>
      <c r="AA73" s="98" t="n">
        <f aca="false">IF(Bookings!$D73="",-1,ROUND(Bookings!$D73*1440,0))</f>
        <v>660</v>
      </c>
      <c r="AB73" s="98" t="n">
        <f aca="false">IF(Bookings!$E73="",-1,ROUND(Bookings!$E73*1440,0))</f>
        <v>720</v>
      </c>
    </row>
    <row r="74" customFormat="false" ht="15" hidden="false" customHeight="false" outlineLevel="0" collapsed="false">
      <c r="Z74" s="98" t="n">
        <f aca="false">IF(Bookings!$C74="","",IFERROR(INDEX(RoomSeats,MATCH(Bookings!$C74,RoomList,0)),""))</f>
        <v>2</v>
      </c>
      <c r="AA74" s="98" t="n">
        <f aca="false">IF(Bookings!$D74="",-1,ROUND(Bookings!$D74*1440,0))</f>
        <v>660</v>
      </c>
      <c r="AB74" s="98" t="n">
        <f aca="false">IF(Bookings!$E74="",-1,ROUND(Bookings!$E74*1440,0))</f>
        <v>690</v>
      </c>
    </row>
    <row r="75" customFormat="false" ht="15" hidden="false" customHeight="false" outlineLevel="0" collapsed="false">
      <c r="Z75" s="98" t="n">
        <f aca="false">IF(Bookings!$C75="","",IFERROR(INDEX(RoomSeats,MATCH(Bookings!$C75,RoomList,0)),""))</f>
        <v>8</v>
      </c>
      <c r="AA75" s="98" t="n">
        <f aca="false">IF(Bookings!$D75="",-1,ROUND(Bookings!$D75*1440,0))</f>
        <v>690</v>
      </c>
      <c r="AB75" s="98" t="n">
        <f aca="false">IF(Bookings!$E75="",-1,ROUND(Bookings!$E75*1440,0))</f>
        <v>750</v>
      </c>
    </row>
    <row r="76" customFormat="false" ht="15" hidden="false" customHeight="false" outlineLevel="0" collapsed="false">
      <c r="Z76" s="98" t="n">
        <f aca="false">IF(Bookings!$C76="","",IFERROR(INDEX(RoomSeats,MATCH(Bookings!$C76,RoomList,0)),""))</f>
        <v>6</v>
      </c>
      <c r="AA76" s="98" t="n">
        <f aca="false">IF(Bookings!$D76="",-1,ROUND(Bookings!$D76*1440,0))</f>
        <v>690</v>
      </c>
      <c r="AB76" s="98" t="n">
        <f aca="false">IF(Bookings!$E76="",-1,ROUND(Bookings!$E76*1440,0))</f>
        <v>750</v>
      </c>
    </row>
    <row r="77" customFormat="false" ht="15" hidden="false" customHeight="false" outlineLevel="0" collapsed="false">
      <c r="Z77" s="98" t="n">
        <f aca="false">IF(Bookings!$C77="","",IFERROR(INDEX(RoomSeats,MATCH(Bookings!$C77,RoomList,0)),""))</f>
        <v>2</v>
      </c>
      <c r="AA77" s="98" t="n">
        <f aca="false">IF(Bookings!$D77="",-1,ROUND(Bookings!$D77*1440,0))</f>
        <v>780</v>
      </c>
      <c r="AB77" s="98" t="n">
        <f aca="false">IF(Bookings!$E77="",-1,ROUND(Bookings!$E77*1440,0))</f>
        <v>810</v>
      </c>
    </row>
    <row r="78" customFormat="false" ht="15" hidden="false" customHeight="false" outlineLevel="0" collapsed="false">
      <c r="Z78" s="98" t="n">
        <f aca="false">IF(Bookings!$C78="","",IFERROR(INDEX(RoomSeats,MATCH(Bookings!$C78,RoomList,0)),""))</f>
        <v>8</v>
      </c>
      <c r="AA78" s="98" t="n">
        <f aca="false">IF(Bookings!$D78="",-1,ROUND(Bookings!$D78*1440,0))</f>
        <v>870</v>
      </c>
      <c r="AB78" s="98" t="n">
        <f aca="false">IF(Bookings!$E78="",-1,ROUND(Bookings!$E78*1440,0))</f>
        <v>900</v>
      </c>
    </row>
    <row r="79" customFormat="false" ht="15" hidden="false" customHeight="false" outlineLevel="0" collapsed="false">
      <c r="Z79" s="98" t="n">
        <f aca="false">IF(Bookings!$C79="","",IFERROR(INDEX(RoomSeats,MATCH(Bookings!$C79,RoomList,0)),""))</f>
        <v>14</v>
      </c>
      <c r="AA79" s="98" t="n">
        <f aca="false">IF(Bookings!$D79="",-1,ROUND(Bookings!$D79*1440,0))</f>
        <v>870</v>
      </c>
      <c r="AB79" s="98" t="n">
        <f aca="false">IF(Bookings!$E79="",-1,ROUND(Bookings!$E79*1440,0))</f>
        <v>900</v>
      </c>
    </row>
    <row r="80" customFormat="false" ht="15" hidden="false" customHeight="false" outlineLevel="0" collapsed="false">
      <c r="Z80" s="98" t="n">
        <f aca="false">IF(Bookings!$C80="","",IFERROR(INDEX(RoomSeats,MATCH(Bookings!$C80,RoomList,0)),""))</f>
        <v>12</v>
      </c>
      <c r="AA80" s="98" t="n">
        <f aca="false">IF(Bookings!$D80="",-1,ROUND(Bookings!$D80*1440,0))</f>
        <v>900</v>
      </c>
      <c r="AB80" s="98" t="n">
        <f aca="false">IF(Bookings!$E80="",-1,ROUND(Bookings!$E80*1440,0))</f>
        <v>960</v>
      </c>
    </row>
    <row r="81" customFormat="false" ht="15" hidden="false" customHeight="false" outlineLevel="0" collapsed="false">
      <c r="Z81" s="98" t="n">
        <f aca="false">IF(Bookings!$C81="","",IFERROR(INDEX(RoomSeats,MATCH(Bookings!$C81,RoomList,0)),""))</f>
        <v>12</v>
      </c>
      <c r="AA81" s="98" t="n">
        <f aca="false">IF(Bookings!$D81="",-1,ROUND(Bookings!$D81*1440,0))</f>
        <v>540</v>
      </c>
      <c r="AB81" s="98" t="n">
        <f aca="false">IF(Bookings!$E81="",-1,ROUND(Bookings!$E81*1440,0))</f>
        <v>600</v>
      </c>
    </row>
    <row r="82" customFormat="false" ht="15" hidden="false" customHeight="false" outlineLevel="0" collapsed="false">
      <c r="Z82" s="98" t="n">
        <f aca="false">IF(Bookings!$C82="","",IFERROR(INDEX(RoomSeats,MATCH(Bookings!$C82,RoomList,0)),""))</f>
        <v>12</v>
      </c>
      <c r="AA82" s="98" t="n">
        <f aca="false">IF(Bookings!$D82="",-1,ROUND(Bookings!$D82*1440,0))</f>
        <v>600</v>
      </c>
      <c r="AB82" s="98" t="n">
        <f aca="false">IF(Bookings!$E82="",-1,ROUND(Bookings!$E82*1440,0))</f>
        <v>630</v>
      </c>
    </row>
    <row r="83" customFormat="false" ht="15" hidden="false" customHeight="false" outlineLevel="0" collapsed="false">
      <c r="Z83" s="98" t="n">
        <f aca="false">IF(Bookings!$C83="","",IFERROR(INDEX(RoomSeats,MATCH(Bookings!$C83,RoomList,0)),""))</f>
        <v>4</v>
      </c>
      <c r="AA83" s="98" t="n">
        <f aca="false">IF(Bookings!$D83="",-1,ROUND(Bookings!$D83*1440,0))</f>
        <v>600</v>
      </c>
      <c r="AB83" s="98" t="n">
        <f aca="false">IF(Bookings!$E83="",-1,ROUND(Bookings!$E83*1440,0))</f>
        <v>660</v>
      </c>
    </row>
    <row r="84" customFormat="false" ht="15" hidden="false" customHeight="false" outlineLevel="0" collapsed="false">
      <c r="Z84" s="98" t="n">
        <f aca="false">IF(Bookings!$C84="","",IFERROR(INDEX(RoomSeats,MATCH(Bookings!$C84,RoomList,0)),""))</f>
        <v>14</v>
      </c>
      <c r="AA84" s="98" t="n">
        <f aca="false">IF(Bookings!$D84="",-1,ROUND(Bookings!$D84*1440,0))</f>
        <v>600</v>
      </c>
      <c r="AB84" s="98" t="n">
        <f aca="false">IF(Bookings!$E84="",-1,ROUND(Bookings!$E84*1440,0))</f>
        <v>660</v>
      </c>
    </row>
    <row r="85" customFormat="false" ht="15" hidden="false" customHeight="false" outlineLevel="0" collapsed="false">
      <c r="Z85" s="98" t="n">
        <f aca="false">IF(Bookings!$C85="","",IFERROR(INDEX(RoomSeats,MATCH(Bookings!$C85,RoomList,0)),""))</f>
        <v>2</v>
      </c>
      <c r="AA85" s="98" t="n">
        <f aca="false">IF(Bookings!$D85="",-1,ROUND(Bookings!$D85*1440,0))</f>
        <v>600</v>
      </c>
      <c r="AB85" s="98" t="n">
        <f aca="false">IF(Bookings!$E85="",-1,ROUND(Bookings!$E85*1440,0))</f>
        <v>660</v>
      </c>
    </row>
    <row r="86" customFormat="false" ht="15" hidden="false" customHeight="false" outlineLevel="0" collapsed="false">
      <c r="Z86" s="98" t="n">
        <f aca="false">IF(Bookings!$C86="","",IFERROR(INDEX(RoomSeats,MATCH(Bookings!$C86,RoomList,0)),""))</f>
        <v>8</v>
      </c>
      <c r="AA86" s="98" t="n">
        <f aca="false">IF(Bookings!$D86="",-1,ROUND(Bookings!$D86*1440,0))</f>
        <v>630</v>
      </c>
      <c r="AB86" s="98" t="n">
        <f aca="false">IF(Bookings!$E86="",-1,ROUND(Bookings!$E86*1440,0))</f>
        <v>660</v>
      </c>
    </row>
    <row r="87" customFormat="false" ht="15" hidden="false" customHeight="false" outlineLevel="0" collapsed="false">
      <c r="Z87" s="98" t="n">
        <f aca="false">IF(Bookings!$C87="","",IFERROR(INDEX(RoomSeats,MATCH(Bookings!$C87,RoomList,0)),""))</f>
        <v>4</v>
      </c>
      <c r="AA87" s="98" t="n">
        <f aca="false">IF(Bookings!$D87="",-1,ROUND(Bookings!$D87*1440,0))</f>
        <v>660</v>
      </c>
      <c r="AB87" s="98" t="n">
        <f aca="false">IF(Bookings!$E87="",-1,ROUND(Bookings!$E87*1440,0))</f>
        <v>690</v>
      </c>
    </row>
    <row r="88" customFormat="false" ht="15" hidden="false" customHeight="false" outlineLevel="0" collapsed="false">
      <c r="Z88" s="98" t="n">
        <f aca="false">IF(Bookings!$C88="","",IFERROR(INDEX(RoomSeats,MATCH(Bookings!$C88,RoomList,0)),""))</f>
        <v>14</v>
      </c>
      <c r="AA88" s="98" t="n">
        <f aca="false">IF(Bookings!$D88="",-1,ROUND(Bookings!$D88*1440,0))</f>
        <v>660</v>
      </c>
      <c r="AB88" s="98" t="n">
        <f aca="false">IF(Bookings!$E88="",-1,ROUND(Bookings!$E88*1440,0))</f>
        <v>690</v>
      </c>
    </row>
    <row r="89" customFormat="false" ht="15" hidden="false" customHeight="false" outlineLevel="0" collapsed="false">
      <c r="Z89" s="98" t="n">
        <f aca="false">IF(Bookings!$C89="","",IFERROR(INDEX(RoomSeats,MATCH(Bookings!$C89,RoomList,0)),""))</f>
        <v>8</v>
      </c>
      <c r="AA89" s="98" t="n">
        <f aca="false">IF(Bookings!$D89="",-1,ROUND(Bookings!$D89*1440,0))</f>
        <v>840</v>
      </c>
      <c r="AB89" s="98" t="n">
        <f aca="false">IF(Bookings!$E89="",-1,ROUND(Bookings!$E89*1440,0))</f>
        <v>870</v>
      </c>
    </row>
    <row r="90" customFormat="false" ht="15" hidden="false" customHeight="false" outlineLevel="0" collapsed="false">
      <c r="Z90" s="98" t="n">
        <f aca="false">IF(Bookings!$C90="","",IFERROR(INDEX(RoomSeats,MATCH(Bookings!$C90,RoomList,0)),""))</f>
        <v>4</v>
      </c>
      <c r="AA90" s="98" t="n">
        <f aca="false">IF(Bookings!$D90="",-1,ROUND(Bookings!$D90*1440,0))</f>
        <v>870</v>
      </c>
      <c r="AB90" s="98" t="n">
        <f aca="false">IF(Bookings!$E90="",-1,ROUND(Bookings!$E90*1440,0))</f>
        <v>930</v>
      </c>
    </row>
    <row r="91" customFormat="false" ht="15" hidden="false" customHeight="false" outlineLevel="0" collapsed="false">
      <c r="Z91" s="98" t="n">
        <f aca="false">IF(Bookings!$C91="","",IFERROR(INDEX(RoomSeats,MATCH(Bookings!$C91,RoomList,0)),""))</f>
        <v>8</v>
      </c>
      <c r="AA91" s="98" t="n">
        <f aca="false">IF(Bookings!$D91="",-1,ROUND(Bookings!$D91*1440,0))</f>
        <v>900</v>
      </c>
      <c r="AB91" s="98" t="n">
        <f aca="false">IF(Bookings!$E91="",-1,ROUND(Bookings!$E91*1440,0))</f>
        <v>960</v>
      </c>
    </row>
    <row r="92" customFormat="false" ht="15" hidden="false" customHeight="false" outlineLevel="0" collapsed="false">
      <c r="Z92" s="98" t="n">
        <f aca="false">IF(Bookings!$C92="","",IFERROR(INDEX(RoomSeats,MATCH(Bookings!$C92,RoomList,0)),""))</f>
        <v>6</v>
      </c>
      <c r="AA92" s="98" t="n">
        <f aca="false">IF(Bookings!$D92="",-1,ROUND(Bookings!$D92*1440,0))</f>
        <v>900</v>
      </c>
      <c r="AB92" s="98" t="n">
        <f aca="false">IF(Bookings!$E92="",-1,ROUND(Bookings!$E92*1440,0))</f>
        <v>930</v>
      </c>
    </row>
    <row r="93" customFormat="false" ht="15" hidden="false" customHeight="false" outlineLevel="0" collapsed="false">
      <c r="Z93" s="98" t="n">
        <f aca="false">IF(Bookings!$C93="","",IFERROR(INDEX(RoomSeats,MATCH(Bookings!$C93,RoomList,0)),""))</f>
        <v>12</v>
      </c>
      <c r="AA93" s="98" t="n">
        <f aca="false">IF(Bookings!$D93="",-1,ROUND(Bookings!$D93*1440,0))</f>
        <v>540</v>
      </c>
      <c r="AB93" s="98" t="n">
        <f aca="false">IF(Bookings!$E93="",-1,ROUND(Bookings!$E93*1440,0))</f>
        <v>570</v>
      </c>
    </row>
    <row r="94" customFormat="false" ht="15" hidden="false" customHeight="false" outlineLevel="0" collapsed="false">
      <c r="Z94" s="98" t="n">
        <f aca="false">IF(Bookings!$C94="","",IFERROR(INDEX(RoomSeats,MATCH(Bookings!$C94,RoomList,0)),""))</f>
        <v>12</v>
      </c>
      <c r="AA94" s="98" t="n">
        <f aca="false">IF(Bookings!$D94="",-1,ROUND(Bookings!$D94*1440,0))</f>
        <v>570</v>
      </c>
      <c r="AB94" s="98" t="n">
        <f aca="false">IF(Bookings!$E94="",-1,ROUND(Bookings!$E94*1440,0))</f>
        <v>630</v>
      </c>
    </row>
    <row r="95" customFormat="false" ht="15" hidden="false" customHeight="false" outlineLevel="0" collapsed="false">
      <c r="Z95" s="98" t="n">
        <f aca="false">IF(Bookings!$C95="","",IFERROR(INDEX(RoomSeats,MATCH(Bookings!$C95,RoomList,0)),""))</f>
        <v>4</v>
      </c>
      <c r="AA95" s="98" t="n">
        <f aca="false">IF(Bookings!$D95="",-1,ROUND(Bookings!$D95*1440,0))</f>
        <v>600</v>
      </c>
      <c r="AB95" s="98" t="n">
        <f aca="false">IF(Bookings!$E95="",-1,ROUND(Bookings!$E95*1440,0))</f>
        <v>660</v>
      </c>
    </row>
    <row r="96" customFormat="false" ht="15" hidden="false" customHeight="false" outlineLevel="0" collapsed="false">
      <c r="Z96" s="98" t="n">
        <f aca="false">IF(Bookings!$C96="","",IFERROR(INDEX(RoomSeats,MATCH(Bookings!$C96,RoomList,0)),""))</f>
        <v>14</v>
      </c>
      <c r="AA96" s="98" t="n">
        <f aca="false">IF(Bookings!$D96="",-1,ROUND(Bookings!$D96*1440,0))</f>
        <v>600</v>
      </c>
      <c r="AB96" s="98" t="n">
        <f aca="false">IF(Bookings!$E96="",-1,ROUND(Bookings!$E96*1440,0))</f>
        <v>660</v>
      </c>
    </row>
    <row r="97" customFormat="false" ht="15" hidden="false" customHeight="false" outlineLevel="0" collapsed="false">
      <c r="Z97" s="98" t="n">
        <f aca="false">IF(Bookings!$C97="","",IFERROR(INDEX(RoomSeats,MATCH(Bookings!$C97,RoomList,0)),""))</f>
        <v>8</v>
      </c>
      <c r="AA97" s="98" t="n">
        <f aca="false">IF(Bookings!$D97="",-1,ROUND(Bookings!$D97*1440,0))</f>
        <v>630</v>
      </c>
      <c r="AB97" s="98" t="n">
        <f aca="false">IF(Bookings!$E97="",-1,ROUND(Bookings!$E97*1440,0))</f>
        <v>690</v>
      </c>
    </row>
    <row r="98" customFormat="false" ht="15" hidden="false" customHeight="false" outlineLevel="0" collapsed="false">
      <c r="Z98" s="98" t="n">
        <f aca="false">IF(Bookings!$C98="","",IFERROR(INDEX(RoomSeats,MATCH(Bookings!$C98,RoomList,0)),""))</f>
        <v>6</v>
      </c>
      <c r="AA98" s="98" t="n">
        <f aca="false">IF(Bookings!$D98="",-1,ROUND(Bookings!$D98*1440,0))</f>
        <v>630</v>
      </c>
      <c r="AB98" s="98" t="n">
        <f aca="false">IF(Bookings!$E98="",-1,ROUND(Bookings!$E98*1440,0))</f>
        <v>690</v>
      </c>
    </row>
    <row r="99" customFormat="false" ht="15" hidden="false" customHeight="false" outlineLevel="0" collapsed="false">
      <c r="Z99" s="98" t="n">
        <f aca="false">IF(Bookings!$C99="","",IFERROR(INDEX(RoomSeats,MATCH(Bookings!$C99,RoomList,0)),""))</f>
        <v>2</v>
      </c>
      <c r="AA99" s="98" t="n">
        <f aca="false">IF(Bookings!$D99="",-1,ROUND(Bookings!$D99*1440,0))</f>
        <v>630</v>
      </c>
      <c r="AB99" s="98" t="n">
        <f aca="false">IF(Bookings!$E99="",-1,ROUND(Bookings!$E99*1440,0))</f>
        <v>660</v>
      </c>
    </row>
    <row r="100" customFormat="false" ht="15" hidden="false" customHeight="false" outlineLevel="0" collapsed="false">
      <c r="Z100" s="98" t="n">
        <f aca="false">IF(Bookings!$C100="","",IFERROR(INDEX(RoomSeats,MATCH(Bookings!$C100,RoomList,0)),""))</f>
        <v>12</v>
      </c>
      <c r="AA100" s="98" t="n">
        <f aca="false">IF(Bookings!$D100="",-1,ROUND(Bookings!$D100*1440,0))</f>
        <v>690</v>
      </c>
      <c r="AB100" s="98" t="n">
        <f aca="false">IF(Bookings!$E100="",-1,ROUND(Bookings!$E100*1440,0))</f>
        <v>750</v>
      </c>
    </row>
    <row r="101" customFormat="false" ht="15" hidden="false" customHeight="false" outlineLevel="0" collapsed="false">
      <c r="Z101" s="98" t="n">
        <f aca="false">IF(Bookings!$C101="","",IFERROR(INDEX(RoomSeats,MATCH(Bookings!$C101,RoomList,0)),""))</f>
        <v>8</v>
      </c>
      <c r="AA101" s="98" t="n">
        <f aca="false">IF(Bookings!$D101="",-1,ROUND(Bookings!$D101*1440,0))</f>
        <v>870</v>
      </c>
      <c r="AB101" s="98" t="n">
        <f aca="false">IF(Bookings!$E101="",-1,ROUND(Bookings!$E101*1440,0))</f>
        <v>900</v>
      </c>
    </row>
    <row r="102" customFormat="false" ht="15" hidden="false" customHeight="false" outlineLevel="0" collapsed="false">
      <c r="Z102" s="98" t="n">
        <f aca="false">IF(Bookings!$C102="","",IFERROR(INDEX(RoomSeats,MATCH(Bookings!$C102,RoomList,0)),""))</f>
        <v>4</v>
      </c>
      <c r="AA102" s="98" t="n">
        <f aca="false">IF(Bookings!$D102="",-1,ROUND(Bookings!$D102*1440,0))</f>
        <v>870</v>
      </c>
      <c r="AB102" s="98" t="n">
        <f aca="false">IF(Bookings!$E102="",-1,ROUND(Bookings!$E102*1440,0))</f>
        <v>900</v>
      </c>
    </row>
    <row r="103" customFormat="false" ht="15" hidden="false" customHeight="false" outlineLevel="0" collapsed="false">
      <c r="Z103" s="98" t="n">
        <f aca="false">IF(Bookings!$C103="","",IFERROR(INDEX(RoomSeats,MATCH(Bookings!$C103,RoomList,0)),""))</f>
        <v>2</v>
      </c>
      <c r="AA103" s="98" t="n">
        <f aca="false">IF(Bookings!$D103="",-1,ROUND(Bookings!$D103*1440,0))</f>
        <v>870</v>
      </c>
      <c r="AB103" s="98" t="n">
        <f aca="false">IF(Bookings!$E103="",-1,ROUND(Bookings!$E103*1440,0))</f>
        <v>900</v>
      </c>
    </row>
    <row r="104" customFormat="false" ht="15" hidden="false" customHeight="false" outlineLevel="0" collapsed="false">
      <c r="Z104" s="98" t="n">
        <f aca="false">IF(Bookings!$C104="","",IFERROR(INDEX(RoomSeats,MATCH(Bookings!$C104,RoomList,0)),""))</f>
        <v>14</v>
      </c>
      <c r="AA104" s="98" t="n">
        <f aca="false">IF(Bookings!$D104="",-1,ROUND(Bookings!$D104*1440,0))</f>
        <v>900</v>
      </c>
      <c r="AB104" s="98" t="n">
        <f aca="false">IF(Bookings!$E104="",-1,ROUND(Bookings!$E104*1440,0))</f>
        <v>990</v>
      </c>
    </row>
    <row r="105" customFormat="false" ht="15" hidden="false" customHeight="false" outlineLevel="0" collapsed="false">
      <c r="Z105" s="98" t="n">
        <f aca="false">IF(Bookings!$C105="","",IFERROR(INDEX(RoomSeats,MATCH(Bookings!$C105,RoomList,0)),""))</f>
        <v>6</v>
      </c>
      <c r="AA105" s="98" t="n">
        <f aca="false">IF(Bookings!$D105="",-1,ROUND(Bookings!$D105*1440,0))</f>
        <v>540</v>
      </c>
      <c r="AB105" s="98" t="n">
        <f aca="false">IF(Bookings!$E105="",-1,ROUND(Bookings!$E105*1440,0))</f>
        <v>600</v>
      </c>
    </row>
    <row r="106" customFormat="false" ht="15" hidden="false" customHeight="false" outlineLevel="0" collapsed="false">
      <c r="Z106" s="98" t="n">
        <f aca="false">IF(Bookings!$C106="","",IFERROR(INDEX(RoomSeats,MATCH(Bookings!$C106,RoomList,0)),""))</f>
        <v>2</v>
      </c>
      <c r="AA106" s="98" t="n">
        <f aca="false">IF(Bookings!$D106="",-1,ROUND(Bookings!$D106*1440,0))</f>
        <v>570</v>
      </c>
      <c r="AB106" s="98" t="n">
        <f aca="false">IF(Bookings!$E106="",-1,ROUND(Bookings!$E106*1440,0))</f>
        <v>600</v>
      </c>
    </row>
    <row r="107" customFormat="false" ht="15" hidden="false" customHeight="false" outlineLevel="0" collapsed="false">
      <c r="Z107" s="98" t="n">
        <f aca="false">IF(Bookings!$C107="","",IFERROR(INDEX(RoomSeats,MATCH(Bookings!$C107,RoomList,0)),""))</f>
        <v>12</v>
      </c>
      <c r="AA107" s="98" t="n">
        <f aca="false">IF(Bookings!$D107="",-1,ROUND(Bookings!$D107*1440,0))</f>
        <v>600</v>
      </c>
      <c r="AB107" s="98" t="n">
        <f aca="false">IF(Bookings!$E107="",-1,ROUND(Bookings!$E107*1440,0))</f>
        <v>630</v>
      </c>
    </row>
    <row r="108" customFormat="false" ht="15" hidden="false" customHeight="false" outlineLevel="0" collapsed="false">
      <c r="Z108" s="98" t="n">
        <f aca="false">IF(Bookings!$C108="","",IFERROR(INDEX(RoomSeats,MATCH(Bookings!$C108,RoomList,0)),""))</f>
        <v>8</v>
      </c>
      <c r="AA108" s="98" t="n">
        <f aca="false">IF(Bookings!$D108="",-1,ROUND(Bookings!$D108*1440,0))</f>
        <v>600</v>
      </c>
      <c r="AB108" s="98" t="n">
        <f aca="false">IF(Bookings!$E108="",-1,ROUND(Bookings!$E108*1440,0))</f>
        <v>690</v>
      </c>
    </row>
    <row r="109" customFormat="false" ht="15" hidden="false" customHeight="false" outlineLevel="0" collapsed="false">
      <c r="Z109" s="98" t="n">
        <f aca="false">IF(Bookings!$C109="","",IFERROR(INDEX(RoomSeats,MATCH(Bookings!$C109,RoomList,0)),""))</f>
        <v>14</v>
      </c>
      <c r="AA109" s="98" t="n">
        <f aca="false">IF(Bookings!$D109="",-1,ROUND(Bookings!$D109*1440,0))</f>
        <v>600</v>
      </c>
      <c r="AB109" s="98" t="n">
        <f aca="false">IF(Bookings!$E109="",-1,ROUND(Bookings!$E109*1440,0))</f>
        <v>660</v>
      </c>
    </row>
    <row r="110" customFormat="false" ht="15" hidden="false" customHeight="false" outlineLevel="0" collapsed="false">
      <c r="Z110" s="98" t="n">
        <f aca="false">IF(Bookings!$C110="","",IFERROR(INDEX(RoomSeats,MATCH(Bookings!$C110,RoomList,0)),""))</f>
        <v>12</v>
      </c>
      <c r="AA110" s="98" t="n">
        <f aca="false">IF(Bookings!$D110="",-1,ROUND(Bookings!$D110*1440,0))</f>
        <v>630</v>
      </c>
      <c r="AB110" s="98" t="n">
        <f aca="false">IF(Bookings!$E110="",-1,ROUND(Bookings!$E110*1440,0))</f>
        <v>690</v>
      </c>
    </row>
    <row r="111" customFormat="false" ht="15" hidden="false" customHeight="false" outlineLevel="0" collapsed="false">
      <c r="Z111" s="98" t="n">
        <f aca="false">IF(Bookings!$C111="","",IFERROR(INDEX(RoomSeats,MATCH(Bookings!$C111,RoomList,0)),""))</f>
        <v>2</v>
      </c>
      <c r="AA111" s="98" t="n">
        <f aca="false">IF(Bookings!$D111="",-1,ROUND(Bookings!$D111*1440,0))</f>
        <v>630</v>
      </c>
      <c r="AB111" s="98" t="n">
        <f aca="false">IF(Bookings!$E111="",-1,ROUND(Bookings!$E111*1440,0))</f>
        <v>660</v>
      </c>
    </row>
    <row r="112" customFormat="false" ht="15" hidden="false" customHeight="false" outlineLevel="0" collapsed="false">
      <c r="Z112" s="98" t="n">
        <f aca="false">IF(Bookings!$C112="","",IFERROR(INDEX(RoomSeats,MATCH(Bookings!$C112,RoomList,0)),""))</f>
        <v>2</v>
      </c>
      <c r="AA112" s="98" t="n">
        <f aca="false">IF(Bookings!$D112="",-1,ROUND(Bookings!$D112*1440,0))</f>
        <v>660</v>
      </c>
      <c r="AB112" s="98" t="n">
        <f aca="false">IF(Bookings!$E112="",-1,ROUND(Bookings!$E112*1440,0))</f>
        <v>720</v>
      </c>
    </row>
    <row r="113" customFormat="false" ht="15" hidden="false" customHeight="false" outlineLevel="0" collapsed="false">
      <c r="Z113" s="98" t="n">
        <f aca="false">IF(Bookings!$C113="","",IFERROR(INDEX(RoomSeats,MATCH(Bookings!$C113,RoomList,0)),""))</f>
        <v>8</v>
      </c>
      <c r="AA113" s="98" t="n">
        <f aca="false">IF(Bookings!$D113="",-1,ROUND(Bookings!$D113*1440,0))</f>
        <v>720</v>
      </c>
      <c r="AB113" s="98" t="n">
        <f aca="false">IF(Bookings!$E113="",-1,ROUND(Bookings!$E113*1440,0))</f>
        <v>780</v>
      </c>
    </row>
    <row r="114" customFormat="false" ht="15" hidden="false" customHeight="false" outlineLevel="0" collapsed="false">
      <c r="Z114" s="98" t="n">
        <f aca="false">IF(Bookings!$C114="","",IFERROR(INDEX(RoomSeats,MATCH(Bookings!$C114,RoomList,0)),""))</f>
        <v>12</v>
      </c>
      <c r="AA114" s="98" t="n">
        <f aca="false">IF(Bookings!$D114="",-1,ROUND(Bookings!$D114*1440,0))</f>
        <v>840</v>
      </c>
      <c r="AB114" s="98" t="n">
        <f aca="false">IF(Bookings!$E114="",-1,ROUND(Bookings!$E114*1440,0))</f>
        <v>900</v>
      </c>
    </row>
    <row r="115" customFormat="false" ht="15" hidden="false" customHeight="false" outlineLevel="0" collapsed="false">
      <c r="Z115" s="98" t="n">
        <f aca="false">IF(Bookings!$C115="","",IFERROR(INDEX(RoomSeats,MATCH(Bookings!$C115,RoomList,0)),""))</f>
        <v>2</v>
      </c>
      <c r="AA115" s="98" t="n">
        <f aca="false">IF(Bookings!$D115="",-1,ROUND(Bookings!$D115*1440,0))</f>
        <v>840</v>
      </c>
      <c r="AB115" s="98" t="n">
        <f aca="false">IF(Bookings!$E115="",-1,ROUND(Bookings!$E115*1440,0))</f>
        <v>900</v>
      </c>
    </row>
    <row r="116" customFormat="false" ht="15" hidden="false" customHeight="false" outlineLevel="0" collapsed="false">
      <c r="Z116" s="98" t="n">
        <f aca="false">IF(Bookings!$C116="","",IFERROR(INDEX(RoomSeats,MATCH(Bookings!$C116,RoomList,0)),""))</f>
        <v>14</v>
      </c>
      <c r="AA116" s="98" t="n">
        <f aca="false">IF(Bookings!$D116="",-1,ROUND(Bookings!$D116*1440,0))</f>
        <v>900</v>
      </c>
      <c r="AB116" s="98" t="n">
        <f aca="false">IF(Bookings!$E116="",-1,ROUND(Bookings!$E116*1440,0))</f>
        <v>930</v>
      </c>
    </row>
    <row r="117" customFormat="false" ht="15" hidden="false" customHeight="false" outlineLevel="0" collapsed="false">
      <c r="Z117" s="98" t="n">
        <f aca="false">IF(Bookings!$C117="","",IFERROR(INDEX(RoomSeats,MATCH(Bookings!$C117,RoomList,0)),""))</f>
        <v>8</v>
      </c>
      <c r="AA117" s="98" t="n">
        <f aca="false">IF(Bookings!$D117="",-1,ROUND(Bookings!$D117*1440,0))</f>
        <v>540</v>
      </c>
      <c r="AB117" s="98" t="n">
        <f aca="false">IF(Bookings!$E117="",-1,ROUND(Bookings!$E117*1440,0))</f>
        <v>600</v>
      </c>
    </row>
    <row r="118" customFormat="false" ht="15" hidden="false" customHeight="false" outlineLevel="0" collapsed="false">
      <c r="Z118" s="98" t="n">
        <f aca="false">IF(Bookings!$C118="","",IFERROR(INDEX(RoomSeats,MATCH(Bookings!$C118,RoomList,0)),""))</f>
        <v>6</v>
      </c>
      <c r="AA118" s="98" t="n">
        <f aca="false">IF(Bookings!$D118="",-1,ROUND(Bookings!$D118*1440,0))</f>
        <v>600</v>
      </c>
      <c r="AB118" s="98" t="n">
        <f aca="false">IF(Bookings!$E118="",-1,ROUND(Bookings!$E118*1440,0))</f>
        <v>660</v>
      </c>
    </row>
    <row r="119" customFormat="false" ht="15" hidden="false" customHeight="false" outlineLevel="0" collapsed="false">
      <c r="Z119" s="98" t="n">
        <f aca="false">IF(Bookings!$C119="","",IFERROR(INDEX(RoomSeats,MATCH(Bookings!$C119,RoomList,0)),""))</f>
        <v>12</v>
      </c>
      <c r="AA119" s="98" t="n">
        <f aca="false">IF(Bookings!$D119="",-1,ROUND(Bookings!$D119*1440,0))</f>
        <v>630</v>
      </c>
      <c r="AB119" s="98" t="n">
        <f aca="false">IF(Bookings!$E119="",-1,ROUND(Bookings!$E119*1440,0))</f>
        <v>690</v>
      </c>
    </row>
    <row r="120" customFormat="false" ht="15" hidden="false" customHeight="false" outlineLevel="0" collapsed="false">
      <c r="Z120" s="98" t="n">
        <f aca="false">IF(Bookings!$C120="","",IFERROR(INDEX(RoomSeats,MATCH(Bookings!$C120,RoomList,0)),""))</f>
        <v>2</v>
      </c>
      <c r="AA120" s="98" t="n">
        <f aca="false">IF(Bookings!$D120="",-1,ROUND(Bookings!$D120*1440,0))</f>
        <v>630</v>
      </c>
      <c r="AB120" s="98" t="n">
        <f aca="false">IF(Bookings!$E120="",-1,ROUND(Bookings!$E120*1440,0))</f>
        <v>660</v>
      </c>
    </row>
    <row r="121" customFormat="false" ht="15" hidden="false" customHeight="false" outlineLevel="0" collapsed="false">
      <c r="Z121" s="98" t="n">
        <f aca="false">IF(Bookings!$C121="","",IFERROR(INDEX(RoomSeats,MATCH(Bookings!$C121,RoomList,0)),""))</f>
        <v>8</v>
      </c>
      <c r="AA121" s="98" t="n">
        <f aca="false">IF(Bookings!$D121="",-1,ROUND(Bookings!$D121*1440,0))</f>
        <v>660</v>
      </c>
      <c r="AB121" s="98" t="n">
        <f aca="false">IF(Bookings!$E121="",-1,ROUND(Bookings!$E121*1440,0))</f>
        <v>720</v>
      </c>
    </row>
    <row r="122" customFormat="false" ht="15" hidden="false" customHeight="false" outlineLevel="0" collapsed="false">
      <c r="Z122" s="98" t="n">
        <f aca="false">IF(Bookings!$C122="","",IFERROR(INDEX(RoomSeats,MATCH(Bookings!$C122,RoomList,0)),""))</f>
        <v>6</v>
      </c>
      <c r="AA122" s="98" t="n">
        <f aca="false">IF(Bookings!$D122="",-1,ROUND(Bookings!$D122*1440,0))</f>
        <v>660</v>
      </c>
      <c r="AB122" s="98" t="n">
        <f aca="false">IF(Bookings!$E122="",-1,ROUND(Bookings!$E122*1440,0))</f>
        <v>690</v>
      </c>
    </row>
    <row r="123" customFormat="false" ht="15" hidden="false" customHeight="false" outlineLevel="0" collapsed="false">
      <c r="Z123" s="98" t="n">
        <f aca="false">IF(Bookings!$C123="","",IFERROR(INDEX(RoomSeats,MATCH(Bookings!$C123,RoomList,0)),""))</f>
        <v>12</v>
      </c>
      <c r="AA123" s="98" t="n">
        <f aca="false">IF(Bookings!$D123="",-1,ROUND(Bookings!$D123*1440,0))</f>
        <v>780</v>
      </c>
      <c r="AB123" s="98" t="n">
        <f aca="false">IF(Bookings!$E123="",-1,ROUND(Bookings!$E123*1440,0))</f>
        <v>810</v>
      </c>
    </row>
    <row r="124" customFormat="false" ht="15" hidden="false" customHeight="false" outlineLevel="0" collapsed="false">
      <c r="Z124" s="98" t="n">
        <f aca="false">IF(Bookings!$C124="","",IFERROR(INDEX(RoomSeats,MATCH(Bookings!$C124,RoomList,0)),""))</f>
        <v>8</v>
      </c>
      <c r="AA124" s="98" t="n">
        <f aca="false">IF(Bookings!$D124="",-1,ROUND(Bookings!$D124*1440,0))</f>
        <v>810</v>
      </c>
      <c r="AB124" s="98" t="n">
        <f aca="false">IF(Bookings!$E124="",-1,ROUND(Bookings!$E124*1440,0))</f>
        <v>870</v>
      </c>
    </row>
    <row r="125" customFormat="false" ht="15" hidden="false" customHeight="false" outlineLevel="0" collapsed="false">
      <c r="Z125" s="98" t="n">
        <f aca="false">IF(Bookings!$C125="","",IFERROR(INDEX(RoomSeats,MATCH(Bookings!$C125,RoomList,0)),""))</f>
        <v>14</v>
      </c>
      <c r="AA125" s="98" t="n">
        <f aca="false">IF(Bookings!$D125="",-1,ROUND(Bookings!$D125*1440,0))</f>
        <v>840</v>
      </c>
      <c r="AB125" s="98" t="n">
        <f aca="false">IF(Bookings!$E125="",-1,ROUND(Bookings!$E125*1440,0))</f>
        <v>900</v>
      </c>
    </row>
    <row r="126" customFormat="false" ht="15" hidden="false" customHeight="false" outlineLevel="0" collapsed="false">
      <c r="Z126" s="98" t="n">
        <f aca="false">IF(Bookings!$C126="","",IFERROR(INDEX(RoomSeats,MATCH(Bookings!$C126,RoomList,0)),""))</f>
        <v>12</v>
      </c>
      <c r="AA126" s="98" t="n">
        <f aca="false">IF(Bookings!$D126="",-1,ROUND(Bookings!$D126*1440,0))</f>
        <v>900</v>
      </c>
      <c r="AB126" s="98" t="n">
        <f aca="false">IF(Bookings!$E126="",-1,ROUND(Bookings!$E126*1440,0))</f>
        <v>960</v>
      </c>
    </row>
    <row r="127" customFormat="false" ht="15" hidden="false" customHeight="false" outlineLevel="0" collapsed="false">
      <c r="Z127" s="98" t="n">
        <f aca="false">IF(Bookings!$C127="","",IFERROR(INDEX(RoomSeats,MATCH(Bookings!$C127,RoomList,0)),""))</f>
        <v>8</v>
      </c>
      <c r="AA127" s="98" t="n">
        <f aca="false">IF(Bookings!$D127="",-1,ROUND(Bookings!$D127*1440,0))</f>
        <v>900</v>
      </c>
      <c r="AB127" s="98" t="n">
        <f aca="false">IF(Bookings!$E127="",-1,ROUND(Bookings!$E127*1440,0))</f>
        <v>930</v>
      </c>
    </row>
    <row r="128" customFormat="false" ht="15" hidden="false" customHeight="false" outlineLevel="0" collapsed="false">
      <c r="Z128" s="98" t="n">
        <f aca="false">IF(Bookings!$C128="","",IFERROR(INDEX(RoomSeats,MATCH(Bookings!$C128,RoomList,0)),""))</f>
        <v>4</v>
      </c>
      <c r="AA128" s="98" t="n">
        <f aca="false">IF(Bookings!$D128="",-1,ROUND(Bookings!$D128*1440,0))</f>
        <v>900</v>
      </c>
      <c r="AB128" s="98" t="n">
        <f aca="false">IF(Bookings!$E128="",-1,ROUND(Bookings!$E128*1440,0))</f>
        <v>960</v>
      </c>
    </row>
    <row r="129" customFormat="false" ht="15" hidden="false" customHeight="false" outlineLevel="0" collapsed="false">
      <c r="Z129" s="0" t="str">
        <f aca="false">IF(Bookings!$C129="","",IFERROR(INDEX(RoomSeats,MATCH(Bookings!$C129,RoomList,0)),""))</f>
        <v/>
      </c>
      <c r="AA129" s="98" t="n">
        <f aca="false">IF(Bookings!$D129="",-1,ROUND(Bookings!$D129*1440,0))</f>
        <v>-1</v>
      </c>
      <c r="AB129" s="98" t="n">
        <f aca="false">IF(Bookings!$E129="",-1,ROUND(Bookings!$E129*1440,0))</f>
        <v>-1</v>
      </c>
    </row>
    <row r="130" customFormat="false" ht="15" hidden="false" customHeight="false" outlineLevel="0" collapsed="false">
      <c r="Z130" s="0" t="str">
        <f aca="false">IF(Bookings!$C130="","",IFERROR(INDEX(RoomSeats,MATCH(Bookings!$C130,RoomList,0)),""))</f>
        <v/>
      </c>
      <c r="AA130" s="98" t="n">
        <f aca="false">IF(Bookings!$D130="",-1,ROUND(Bookings!$D130*1440,0))</f>
        <v>-1</v>
      </c>
      <c r="AB130" s="98" t="n">
        <f aca="false">IF(Bookings!$E130="",-1,ROUND(Bookings!$E130*1440,0))</f>
        <v>-1</v>
      </c>
    </row>
    <row r="131" customFormat="false" ht="15" hidden="false" customHeight="false" outlineLevel="0" collapsed="false">
      <c r="Z131" s="0" t="str">
        <f aca="false">IF(Bookings!$C131="","",IFERROR(INDEX(RoomSeats,MATCH(Bookings!$C131,RoomList,0)),""))</f>
        <v/>
      </c>
      <c r="AA131" s="98" t="n">
        <f aca="false">IF(Bookings!$D131="",-1,ROUND(Bookings!$D131*1440,0))</f>
        <v>-1</v>
      </c>
      <c r="AB131" s="98" t="n">
        <f aca="false">IF(Bookings!$E131="",-1,ROUND(Bookings!$E131*1440,0))</f>
        <v>-1</v>
      </c>
    </row>
    <row r="132" customFormat="false" ht="15" hidden="false" customHeight="false" outlineLevel="0" collapsed="false">
      <c r="Z132" s="0" t="str">
        <f aca="false">IF(Bookings!$C132="","",IFERROR(INDEX(RoomSeats,MATCH(Bookings!$C132,RoomList,0)),""))</f>
        <v/>
      </c>
      <c r="AA132" s="98" t="n">
        <f aca="false">IF(Bookings!$D132="",-1,ROUND(Bookings!$D132*1440,0))</f>
        <v>-1</v>
      </c>
      <c r="AB132" s="98" t="n">
        <f aca="false">IF(Bookings!$E132="",-1,ROUND(Bookings!$E132*1440,0))</f>
        <v>-1</v>
      </c>
    </row>
    <row r="133" customFormat="false" ht="15" hidden="false" customHeight="false" outlineLevel="0" collapsed="false">
      <c r="Z133" s="0" t="str">
        <f aca="false">IF(Bookings!$C133="","",IFERROR(INDEX(RoomSeats,MATCH(Bookings!$C133,RoomList,0)),""))</f>
        <v/>
      </c>
      <c r="AA133" s="98" t="n">
        <f aca="false">IF(Bookings!$D133="",-1,ROUND(Bookings!$D133*1440,0))</f>
        <v>-1</v>
      </c>
      <c r="AB133" s="98" t="n">
        <f aca="false">IF(Bookings!$E133="",-1,ROUND(Bookings!$E133*1440,0))</f>
        <v>-1</v>
      </c>
    </row>
    <row r="134" customFormat="false" ht="15" hidden="false" customHeight="false" outlineLevel="0" collapsed="false">
      <c r="Z134" s="0" t="str">
        <f aca="false">IF(Bookings!$C134="","",IFERROR(INDEX(RoomSeats,MATCH(Bookings!$C134,RoomList,0)),""))</f>
        <v/>
      </c>
      <c r="AA134" s="98" t="n">
        <f aca="false">IF(Bookings!$D134="",-1,ROUND(Bookings!$D134*1440,0))</f>
        <v>-1</v>
      </c>
      <c r="AB134" s="98" t="n">
        <f aca="false">IF(Bookings!$E134="",-1,ROUND(Bookings!$E134*1440,0))</f>
        <v>-1</v>
      </c>
    </row>
    <row r="135" customFormat="false" ht="15" hidden="false" customHeight="false" outlineLevel="0" collapsed="false">
      <c r="Z135" s="0" t="str">
        <f aca="false">IF(Bookings!$C135="","",IFERROR(INDEX(RoomSeats,MATCH(Bookings!$C135,RoomList,0)),""))</f>
        <v/>
      </c>
      <c r="AA135" s="98" t="n">
        <f aca="false">IF(Bookings!$D135="",-1,ROUND(Bookings!$D135*1440,0))</f>
        <v>-1</v>
      </c>
      <c r="AB135" s="98" t="n">
        <f aca="false">IF(Bookings!$E135="",-1,ROUND(Bookings!$E135*1440,0))</f>
        <v>-1</v>
      </c>
    </row>
    <row r="136" customFormat="false" ht="15" hidden="false" customHeight="false" outlineLevel="0" collapsed="false">
      <c r="Z136" s="0" t="str">
        <f aca="false">IF(Bookings!$C136="","",IFERROR(INDEX(RoomSeats,MATCH(Bookings!$C136,RoomList,0)),""))</f>
        <v/>
      </c>
      <c r="AA136" s="98" t="n">
        <f aca="false">IF(Bookings!$D136="",-1,ROUND(Bookings!$D136*1440,0))</f>
        <v>-1</v>
      </c>
      <c r="AB136" s="98" t="n">
        <f aca="false">IF(Bookings!$E136="",-1,ROUND(Bookings!$E136*1440,0))</f>
        <v>-1</v>
      </c>
    </row>
    <row r="137" customFormat="false" ht="15" hidden="false" customHeight="false" outlineLevel="0" collapsed="false">
      <c r="Z137" s="0" t="str">
        <f aca="false">IF(Bookings!$C137="","",IFERROR(INDEX(RoomSeats,MATCH(Bookings!$C137,RoomList,0)),""))</f>
        <v/>
      </c>
      <c r="AA137" s="98" t="n">
        <f aca="false">IF(Bookings!$D137="",-1,ROUND(Bookings!$D137*1440,0))</f>
        <v>-1</v>
      </c>
      <c r="AB137" s="98" t="n">
        <f aca="false">IF(Bookings!$E137="",-1,ROUND(Bookings!$E137*1440,0))</f>
        <v>-1</v>
      </c>
    </row>
    <row r="138" customFormat="false" ht="15" hidden="false" customHeight="false" outlineLevel="0" collapsed="false">
      <c r="Z138" s="0" t="str">
        <f aca="false">IF(Bookings!$C138="","",IFERROR(INDEX(RoomSeats,MATCH(Bookings!$C138,RoomList,0)),""))</f>
        <v/>
      </c>
      <c r="AA138" s="98" t="n">
        <f aca="false">IF(Bookings!$D138="",-1,ROUND(Bookings!$D138*1440,0))</f>
        <v>-1</v>
      </c>
      <c r="AB138" s="98" t="n">
        <f aca="false">IF(Bookings!$E138="",-1,ROUND(Bookings!$E138*1440,0))</f>
        <v>-1</v>
      </c>
    </row>
    <row r="139" customFormat="false" ht="15" hidden="false" customHeight="false" outlineLevel="0" collapsed="false">
      <c r="Z139" s="0" t="str">
        <f aca="false">IF(Bookings!$C139="","",IFERROR(INDEX(RoomSeats,MATCH(Bookings!$C139,RoomList,0)),""))</f>
        <v/>
      </c>
      <c r="AA139" s="98" t="n">
        <f aca="false">IF(Bookings!$D139="",-1,ROUND(Bookings!$D139*1440,0))</f>
        <v>-1</v>
      </c>
      <c r="AB139" s="98" t="n">
        <f aca="false">IF(Bookings!$E139="",-1,ROUND(Bookings!$E139*1440,0))</f>
        <v>-1</v>
      </c>
    </row>
    <row r="140" customFormat="false" ht="15" hidden="false" customHeight="false" outlineLevel="0" collapsed="false">
      <c r="Z140" s="0" t="str">
        <f aca="false">IF(Bookings!$C140="","",IFERROR(INDEX(RoomSeats,MATCH(Bookings!$C140,RoomList,0)),""))</f>
        <v/>
      </c>
      <c r="AA140" s="98" t="n">
        <f aca="false">IF(Bookings!$D140="",-1,ROUND(Bookings!$D140*1440,0))</f>
        <v>-1</v>
      </c>
      <c r="AB140" s="98" t="n">
        <f aca="false">IF(Bookings!$E140="",-1,ROUND(Bookings!$E140*1440,0))</f>
        <v>-1</v>
      </c>
    </row>
    <row r="141" customFormat="false" ht="15" hidden="false" customHeight="false" outlineLevel="0" collapsed="false">
      <c r="Z141" s="0" t="str">
        <f aca="false">IF(Bookings!$C141="","",IFERROR(INDEX(RoomSeats,MATCH(Bookings!$C141,RoomList,0)),""))</f>
        <v/>
      </c>
      <c r="AA141" s="98" t="n">
        <f aca="false">IF(Bookings!$D141="",-1,ROUND(Bookings!$D141*1440,0))</f>
        <v>-1</v>
      </c>
      <c r="AB141" s="98" t="n">
        <f aca="false">IF(Bookings!$E141="",-1,ROUND(Bookings!$E141*1440,0))</f>
        <v>-1</v>
      </c>
    </row>
    <row r="142" customFormat="false" ht="15" hidden="false" customHeight="false" outlineLevel="0" collapsed="false">
      <c r="Z142" s="0" t="str">
        <f aca="false">IF(Bookings!$C142="","",IFERROR(INDEX(RoomSeats,MATCH(Bookings!$C142,RoomList,0)),""))</f>
        <v/>
      </c>
      <c r="AA142" s="98" t="n">
        <f aca="false">IF(Bookings!$D142="",-1,ROUND(Bookings!$D142*1440,0))</f>
        <v>-1</v>
      </c>
      <c r="AB142" s="98" t="n">
        <f aca="false">IF(Bookings!$E142="",-1,ROUND(Bookings!$E142*1440,0))</f>
        <v>-1</v>
      </c>
    </row>
    <row r="143" customFormat="false" ht="15" hidden="false" customHeight="false" outlineLevel="0" collapsed="false">
      <c r="Z143" s="0" t="str">
        <f aca="false">IF(Bookings!$C143="","",IFERROR(INDEX(RoomSeats,MATCH(Bookings!$C143,RoomList,0)),""))</f>
        <v/>
      </c>
      <c r="AA143" s="98" t="n">
        <f aca="false">IF(Bookings!$D143="",-1,ROUND(Bookings!$D143*1440,0))</f>
        <v>-1</v>
      </c>
      <c r="AB143" s="98" t="n">
        <f aca="false">IF(Bookings!$E143="",-1,ROUND(Bookings!$E143*1440,0))</f>
        <v>-1</v>
      </c>
    </row>
    <row r="144" customFormat="false" ht="15" hidden="false" customHeight="false" outlineLevel="0" collapsed="false">
      <c r="Z144" s="0" t="str">
        <f aca="false">IF(Bookings!$C144="","",IFERROR(INDEX(RoomSeats,MATCH(Bookings!$C144,RoomList,0)),""))</f>
        <v/>
      </c>
      <c r="AA144" s="98" t="n">
        <f aca="false">IF(Bookings!$D144="",-1,ROUND(Bookings!$D144*1440,0))</f>
        <v>-1</v>
      </c>
      <c r="AB144" s="98" t="n">
        <f aca="false">IF(Bookings!$E144="",-1,ROUND(Bookings!$E144*1440,0))</f>
        <v>-1</v>
      </c>
    </row>
    <row r="145" customFormat="false" ht="15" hidden="false" customHeight="false" outlineLevel="0" collapsed="false">
      <c r="Z145" s="0" t="str">
        <f aca="false">IF(Bookings!$C145="","",IFERROR(INDEX(RoomSeats,MATCH(Bookings!$C145,RoomList,0)),""))</f>
        <v/>
      </c>
      <c r="AA145" s="98" t="n">
        <f aca="false">IF(Bookings!$D145="",-1,ROUND(Bookings!$D145*1440,0))</f>
        <v>-1</v>
      </c>
      <c r="AB145" s="98" t="n">
        <f aca="false">IF(Bookings!$E145="",-1,ROUND(Bookings!$E145*1440,0))</f>
        <v>-1</v>
      </c>
    </row>
    <row r="146" customFormat="false" ht="15" hidden="false" customHeight="false" outlineLevel="0" collapsed="false">
      <c r="Z146" s="0" t="str">
        <f aca="false">IF(Bookings!$C146="","",IFERROR(INDEX(RoomSeats,MATCH(Bookings!$C146,RoomList,0)),""))</f>
        <v/>
      </c>
      <c r="AA146" s="98" t="n">
        <f aca="false">IF(Bookings!$D146="",-1,ROUND(Bookings!$D146*1440,0))</f>
        <v>-1</v>
      </c>
      <c r="AB146" s="98" t="n">
        <f aca="false">IF(Bookings!$E146="",-1,ROUND(Bookings!$E146*1440,0))</f>
        <v>-1</v>
      </c>
    </row>
    <row r="147" customFormat="false" ht="15" hidden="false" customHeight="false" outlineLevel="0" collapsed="false">
      <c r="Z147" s="0" t="str">
        <f aca="false">IF(Bookings!$C147="","",IFERROR(INDEX(RoomSeats,MATCH(Bookings!$C147,RoomList,0)),""))</f>
        <v/>
      </c>
      <c r="AA147" s="98" t="n">
        <f aca="false">IF(Bookings!$D147="",-1,ROUND(Bookings!$D147*1440,0))</f>
        <v>-1</v>
      </c>
      <c r="AB147" s="98" t="n">
        <f aca="false">IF(Bookings!$E147="",-1,ROUND(Bookings!$E147*1440,0))</f>
        <v>-1</v>
      </c>
    </row>
    <row r="148" customFormat="false" ht="15" hidden="false" customHeight="false" outlineLevel="0" collapsed="false">
      <c r="Z148" s="0" t="str">
        <f aca="false">IF(Bookings!$C148="","",IFERROR(INDEX(RoomSeats,MATCH(Bookings!$C148,RoomList,0)),""))</f>
        <v/>
      </c>
      <c r="AA148" s="98" t="n">
        <f aca="false">IF(Bookings!$D148="",-1,ROUND(Bookings!$D148*1440,0))</f>
        <v>-1</v>
      </c>
      <c r="AB148" s="98" t="n">
        <f aca="false">IF(Bookings!$E148="",-1,ROUND(Bookings!$E148*1440,0))</f>
        <v>-1</v>
      </c>
    </row>
    <row r="149" customFormat="false" ht="15" hidden="false" customHeight="false" outlineLevel="0" collapsed="false">
      <c r="Z149" s="0" t="str">
        <f aca="false">IF(Bookings!$C149="","",IFERROR(INDEX(RoomSeats,MATCH(Bookings!$C149,RoomList,0)),""))</f>
        <v/>
      </c>
      <c r="AA149" s="98" t="n">
        <f aca="false">IF(Bookings!$D149="",-1,ROUND(Bookings!$D149*1440,0))</f>
        <v>-1</v>
      </c>
      <c r="AB149" s="98" t="n">
        <f aca="false">IF(Bookings!$E149="",-1,ROUND(Bookings!$E149*1440,0))</f>
        <v>-1</v>
      </c>
    </row>
    <row r="150" customFormat="false" ht="15" hidden="false" customHeight="false" outlineLevel="0" collapsed="false">
      <c r="Z150" s="0" t="str">
        <f aca="false">IF(Bookings!$C150="","",IFERROR(INDEX(RoomSeats,MATCH(Bookings!$C150,RoomList,0)),""))</f>
        <v/>
      </c>
      <c r="AA150" s="98" t="n">
        <f aca="false">IF(Bookings!$D150="",-1,ROUND(Bookings!$D150*1440,0))</f>
        <v>-1</v>
      </c>
      <c r="AB150" s="98" t="n">
        <f aca="false">IF(Bookings!$E150="",-1,ROUND(Bookings!$E150*1440,0))</f>
        <v>-1</v>
      </c>
    </row>
    <row r="151" customFormat="false" ht="15" hidden="false" customHeight="false" outlineLevel="0" collapsed="false">
      <c r="Z151" s="0" t="str">
        <f aca="false">IF(Bookings!$C151="","",IFERROR(INDEX(RoomSeats,MATCH(Bookings!$C151,RoomList,0)),""))</f>
        <v/>
      </c>
      <c r="AA151" s="98" t="n">
        <f aca="false">IF(Bookings!$D151="",-1,ROUND(Bookings!$D151*1440,0))</f>
        <v>-1</v>
      </c>
      <c r="AB151" s="98" t="n">
        <f aca="false">IF(Bookings!$E151="",-1,ROUND(Bookings!$E151*1440,0))</f>
        <v>-1</v>
      </c>
    </row>
    <row r="152" customFormat="false" ht="15" hidden="false" customHeight="false" outlineLevel="0" collapsed="false">
      <c r="Z152" s="0" t="str">
        <f aca="false">IF(Bookings!$C152="","",IFERROR(INDEX(RoomSeats,MATCH(Bookings!$C152,RoomList,0)),""))</f>
        <v/>
      </c>
      <c r="AA152" s="98" t="n">
        <f aca="false">IF(Bookings!$D152="",-1,ROUND(Bookings!$D152*1440,0))</f>
        <v>-1</v>
      </c>
      <c r="AB152" s="98" t="n">
        <f aca="false">IF(Bookings!$E152="",-1,ROUND(Bookings!$E152*1440,0))</f>
        <v>-1</v>
      </c>
    </row>
    <row r="153" customFormat="false" ht="15" hidden="false" customHeight="false" outlineLevel="0" collapsed="false">
      <c r="Z153" s="0" t="str">
        <f aca="false">IF(Bookings!$C153="","",IFERROR(INDEX(RoomSeats,MATCH(Bookings!$C153,RoomList,0)),""))</f>
        <v/>
      </c>
      <c r="AA153" s="98" t="n">
        <f aca="false">IF(Bookings!$D153="",-1,ROUND(Bookings!$D153*1440,0))</f>
        <v>-1</v>
      </c>
      <c r="AB153" s="98" t="n">
        <f aca="false">IF(Bookings!$E153="",-1,ROUND(Bookings!$E153*1440,0))</f>
        <v>-1</v>
      </c>
    </row>
    <row r="154" customFormat="false" ht="15" hidden="false" customHeight="false" outlineLevel="0" collapsed="false">
      <c r="Z154" s="0" t="str">
        <f aca="false">IF(Bookings!$C154="","",IFERROR(INDEX(RoomSeats,MATCH(Bookings!$C154,RoomList,0)),""))</f>
        <v/>
      </c>
      <c r="AA154" s="98" t="n">
        <f aca="false">IF(Bookings!$D154="",-1,ROUND(Bookings!$D154*1440,0))</f>
        <v>-1</v>
      </c>
      <c r="AB154" s="98" t="n">
        <f aca="false">IF(Bookings!$E154="",-1,ROUND(Bookings!$E154*1440,0))</f>
        <v>-1</v>
      </c>
    </row>
    <row r="155" customFormat="false" ht="15" hidden="false" customHeight="false" outlineLevel="0" collapsed="false">
      <c r="Z155" s="0" t="str">
        <f aca="false">IF(Bookings!$C155="","",IFERROR(INDEX(RoomSeats,MATCH(Bookings!$C155,RoomList,0)),""))</f>
        <v/>
      </c>
      <c r="AA155" s="98" t="n">
        <f aca="false">IF(Bookings!$D155="",-1,ROUND(Bookings!$D155*1440,0))</f>
        <v>-1</v>
      </c>
      <c r="AB155" s="98" t="n">
        <f aca="false">IF(Bookings!$E155="",-1,ROUND(Bookings!$E155*1440,0))</f>
        <v>-1</v>
      </c>
    </row>
    <row r="156" customFormat="false" ht="15" hidden="false" customHeight="false" outlineLevel="0" collapsed="false">
      <c r="Z156" s="0" t="str">
        <f aca="false">IF(Bookings!$C156="","",IFERROR(INDEX(RoomSeats,MATCH(Bookings!$C156,RoomList,0)),""))</f>
        <v/>
      </c>
      <c r="AA156" s="98" t="n">
        <f aca="false">IF(Bookings!$D156="",-1,ROUND(Bookings!$D156*1440,0))</f>
        <v>-1</v>
      </c>
      <c r="AB156" s="98" t="n">
        <f aca="false">IF(Bookings!$E156="",-1,ROUND(Bookings!$E156*1440,0))</f>
        <v>-1</v>
      </c>
    </row>
    <row r="157" customFormat="false" ht="15" hidden="false" customHeight="false" outlineLevel="0" collapsed="false">
      <c r="Z157" s="0" t="str">
        <f aca="false">IF(Bookings!$C157="","",IFERROR(INDEX(RoomSeats,MATCH(Bookings!$C157,RoomList,0)),""))</f>
        <v/>
      </c>
      <c r="AA157" s="98" t="n">
        <f aca="false">IF(Bookings!$D157="",-1,ROUND(Bookings!$D157*1440,0))</f>
        <v>-1</v>
      </c>
      <c r="AB157" s="98" t="n">
        <f aca="false">IF(Bookings!$E157="",-1,ROUND(Bookings!$E157*1440,0))</f>
        <v>-1</v>
      </c>
    </row>
    <row r="158" customFormat="false" ht="15" hidden="false" customHeight="false" outlineLevel="0" collapsed="false">
      <c r="Z158" s="0" t="str">
        <f aca="false">IF(Bookings!$C158="","",IFERROR(INDEX(RoomSeats,MATCH(Bookings!$C158,RoomList,0)),""))</f>
        <v/>
      </c>
      <c r="AA158" s="98" t="n">
        <f aca="false">IF(Bookings!$D158="",-1,ROUND(Bookings!$D158*1440,0))</f>
        <v>-1</v>
      </c>
      <c r="AB158" s="98" t="n">
        <f aca="false">IF(Bookings!$E158="",-1,ROUND(Bookings!$E158*1440,0))</f>
        <v>-1</v>
      </c>
    </row>
    <row r="159" customFormat="false" ht="15" hidden="false" customHeight="false" outlineLevel="0" collapsed="false">
      <c r="Z159" s="0" t="str">
        <f aca="false">IF(Bookings!$C159="","",IFERROR(INDEX(RoomSeats,MATCH(Bookings!$C159,RoomList,0)),""))</f>
        <v/>
      </c>
      <c r="AA159" s="98" t="n">
        <f aca="false">IF(Bookings!$D159="",-1,ROUND(Bookings!$D159*1440,0))</f>
        <v>-1</v>
      </c>
      <c r="AB159" s="98" t="n">
        <f aca="false">IF(Bookings!$E159="",-1,ROUND(Bookings!$E159*1440,0))</f>
        <v>-1</v>
      </c>
    </row>
    <row r="160" customFormat="false" ht="15" hidden="false" customHeight="false" outlineLevel="0" collapsed="false">
      <c r="Z160" s="0" t="str">
        <f aca="false">IF(Bookings!$C160="","",IFERROR(INDEX(RoomSeats,MATCH(Bookings!$C160,RoomList,0)),""))</f>
        <v/>
      </c>
      <c r="AA160" s="98" t="n">
        <f aca="false">IF(Bookings!$D160="",-1,ROUND(Bookings!$D160*1440,0))</f>
        <v>-1</v>
      </c>
      <c r="AB160" s="98" t="n">
        <f aca="false">IF(Bookings!$E160="",-1,ROUND(Bookings!$E160*1440,0))</f>
        <v>-1</v>
      </c>
    </row>
    <row r="161" customFormat="false" ht="15" hidden="false" customHeight="false" outlineLevel="0" collapsed="false">
      <c r="Z161" s="0" t="str">
        <f aca="false">IF(Bookings!$C161="","",IFERROR(INDEX(RoomSeats,MATCH(Bookings!$C161,RoomList,0)),""))</f>
        <v/>
      </c>
      <c r="AA161" s="98" t="n">
        <f aca="false">IF(Bookings!$D161="",-1,ROUND(Bookings!$D161*1440,0))</f>
        <v>-1</v>
      </c>
      <c r="AB161" s="98" t="n">
        <f aca="false">IF(Bookings!$E161="",-1,ROUND(Bookings!$E161*1440,0))</f>
        <v>-1</v>
      </c>
    </row>
    <row r="162" customFormat="false" ht="15" hidden="false" customHeight="false" outlineLevel="0" collapsed="false">
      <c r="Z162" s="0" t="str">
        <f aca="false">IF(Bookings!$C162="","",IFERROR(INDEX(RoomSeats,MATCH(Bookings!$C162,RoomList,0)),""))</f>
        <v/>
      </c>
      <c r="AA162" s="98" t="n">
        <f aca="false">IF(Bookings!$D162="",-1,ROUND(Bookings!$D162*1440,0))</f>
        <v>-1</v>
      </c>
      <c r="AB162" s="98" t="n">
        <f aca="false">IF(Bookings!$E162="",-1,ROUND(Bookings!$E162*1440,0))</f>
        <v>-1</v>
      </c>
    </row>
    <row r="163" customFormat="false" ht="15" hidden="false" customHeight="false" outlineLevel="0" collapsed="false">
      <c r="Z163" s="0" t="str">
        <f aca="false">IF(Bookings!$C163="","",IFERROR(INDEX(RoomSeats,MATCH(Bookings!$C163,RoomList,0)),""))</f>
        <v/>
      </c>
      <c r="AA163" s="98" t="n">
        <f aca="false">IF(Bookings!$D163="",-1,ROUND(Bookings!$D163*1440,0))</f>
        <v>-1</v>
      </c>
      <c r="AB163" s="98" t="n">
        <f aca="false">IF(Bookings!$E163="",-1,ROUND(Bookings!$E163*1440,0))</f>
        <v>-1</v>
      </c>
    </row>
    <row r="164" customFormat="false" ht="15" hidden="false" customHeight="false" outlineLevel="0" collapsed="false">
      <c r="Z164" s="0" t="str">
        <f aca="false">IF(Bookings!$C164="","",IFERROR(INDEX(RoomSeats,MATCH(Bookings!$C164,RoomList,0)),""))</f>
        <v/>
      </c>
      <c r="AA164" s="98" t="n">
        <f aca="false">IF(Bookings!$D164="",-1,ROUND(Bookings!$D164*1440,0))</f>
        <v>-1</v>
      </c>
      <c r="AB164" s="98" t="n">
        <f aca="false">IF(Bookings!$E164="",-1,ROUND(Bookings!$E164*1440,0))</f>
        <v>-1</v>
      </c>
    </row>
    <row r="165" customFormat="false" ht="15" hidden="false" customHeight="false" outlineLevel="0" collapsed="false">
      <c r="Z165" s="0" t="str">
        <f aca="false">IF(Bookings!$C165="","",IFERROR(INDEX(RoomSeats,MATCH(Bookings!$C165,RoomList,0)),""))</f>
        <v/>
      </c>
      <c r="AA165" s="98" t="n">
        <f aca="false">IF(Bookings!$D165="",-1,ROUND(Bookings!$D165*1440,0))</f>
        <v>-1</v>
      </c>
      <c r="AB165" s="98" t="n">
        <f aca="false">IF(Bookings!$E165="",-1,ROUND(Bookings!$E165*1440,0))</f>
        <v>-1</v>
      </c>
    </row>
    <row r="166" customFormat="false" ht="15" hidden="false" customHeight="false" outlineLevel="0" collapsed="false">
      <c r="Z166" s="0" t="str">
        <f aca="false">IF(Bookings!$C166="","",IFERROR(INDEX(RoomSeats,MATCH(Bookings!$C166,RoomList,0)),""))</f>
        <v/>
      </c>
      <c r="AA166" s="98" t="n">
        <f aca="false">IF(Bookings!$D166="",-1,ROUND(Bookings!$D166*1440,0))</f>
        <v>-1</v>
      </c>
      <c r="AB166" s="98" t="n">
        <f aca="false">IF(Bookings!$E166="",-1,ROUND(Bookings!$E166*1440,0))</f>
        <v>-1</v>
      </c>
    </row>
    <row r="167" customFormat="false" ht="15" hidden="false" customHeight="false" outlineLevel="0" collapsed="false">
      <c r="Z167" s="0" t="str">
        <f aca="false">IF(Bookings!$C167="","",IFERROR(INDEX(RoomSeats,MATCH(Bookings!$C167,RoomList,0)),""))</f>
        <v/>
      </c>
      <c r="AA167" s="98" t="n">
        <f aca="false">IF(Bookings!$D167="",-1,ROUND(Bookings!$D167*1440,0))</f>
        <v>-1</v>
      </c>
      <c r="AB167" s="98" t="n">
        <f aca="false">IF(Bookings!$E167="",-1,ROUND(Bookings!$E167*1440,0))</f>
        <v>-1</v>
      </c>
    </row>
    <row r="168" customFormat="false" ht="15" hidden="false" customHeight="false" outlineLevel="0" collapsed="false">
      <c r="Z168" s="0" t="str">
        <f aca="false">IF(Bookings!$C168="","",IFERROR(INDEX(RoomSeats,MATCH(Bookings!$C168,RoomList,0)),""))</f>
        <v/>
      </c>
      <c r="AA168" s="98" t="n">
        <f aca="false">IF(Bookings!$D168="",-1,ROUND(Bookings!$D168*1440,0))</f>
        <v>-1</v>
      </c>
      <c r="AB168" s="98" t="n">
        <f aca="false">IF(Bookings!$E168="",-1,ROUND(Bookings!$E168*1440,0))</f>
        <v>-1</v>
      </c>
    </row>
    <row r="169" customFormat="false" ht="15" hidden="false" customHeight="false" outlineLevel="0" collapsed="false">
      <c r="Z169" s="0" t="str">
        <f aca="false">IF(Bookings!$C169="","",IFERROR(INDEX(RoomSeats,MATCH(Bookings!$C169,RoomList,0)),""))</f>
        <v/>
      </c>
      <c r="AA169" s="98" t="n">
        <f aca="false">IF(Bookings!$D169="",-1,ROUND(Bookings!$D169*1440,0))</f>
        <v>-1</v>
      </c>
      <c r="AB169" s="98" t="n">
        <f aca="false">IF(Bookings!$E169="",-1,ROUND(Bookings!$E169*1440,0))</f>
        <v>-1</v>
      </c>
    </row>
    <row r="170" customFormat="false" ht="15" hidden="false" customHeight="false" outlineLevel="0" collapsed="false">
      <c r="Z170" s="0" t="str">
        <f aca="false">IF(Bookings!$C170="","",IFERROR(INDEX(RoomSeats,MATCH(Bookings!$C170,RoomList,0)),""))</f>
        <v/>
      </c>
      <c r="AA170" s="98" t="n">
        <f aca="false">IF(Bookings!$D170="",-1,ROUND(Bookings!$D170*1440,0))</f>
        <v>-1</v>
      </c>
      <c r="AB170" s="98" t="n">
        <f aca="false">IF(Bookings!$E170="",-1,ROUND(Bookings!$E170*1440,0))</f>
        <v>-1</v>
      </c>
    </row>
    <row r="171" customFormat="false" ht="15" hidden="false" customHeight="false" outlineLevel="0" collapsed="false">
      <c r="Z171" s="0" t="str">
        <f aca="false">IF(Bookings!$C171="","",IFERROR(INDEX(RoomSeats,MATCH(Bookings!$C171,RoomList,0)),""))</f>
        <v/>
      </c>
      <c r="AA171" s="98" t="n">
        <f aca="false">IF(Bookings!$D171="",-1,ROUND(Bookings!$D171*1440,0))</f>
        <v>-1</v>
      </c>
      <c r="AB171" s="98" t="n">
        <f aca="false">IF(Bookings!$E171="",-1,ROUND(Bookings!$E171*1440,0))</f>
        <v>-1</v>
      </c>
    </row>
    <row r="172" customFormat="false" ht="15" hidden="false" customHeight="false" outlineLevel="0" collapsed="false">
      <c r="Z172" s="0" t="str">
        <f aca="false">IF(Bookings!$C172="","",IFERROR(INDEX(RoomSeats,MATCH(Bookings!$C172,RoomList,0)),""))</f>
        <v/>
      </c>
      <c r="AA172" s="98" t="n">
        <f aca="false">IF(Bookings!$D172="",-1,ROUND(Bookings!$D172*1440,0))</f>
        <v>-1</v>
      </c>
      <c r="AB172" s="98" t="n">
        <f aca="false">IF(Bookings!$E172="",-1,ROUND(Bookings!$E172*1440,0))</f>
        <v>-1</v>
      </c>
    </row>
    <row r="173" customFormat="false" ht="15" hidden="false" customHeight="false" outlineLevel="0" collapsed="false">
      <c r="Z173" s="0" t="str">
        <f aca="false">IF(Bookings!$C173="","",IFERROR(INDEX(RoomSeats,MATCH(Bookings!$C173,RoomList,0)),""))</f>
        <v/>
      </c>
      <c r="AA173" s="98" t="n">
        <f aca="false">IF(Bookings!$D173="",-1,ROUND(Bookings!$D173*1440,0))</f>
        <v>-1</v>
      </c>
      <c r="AB173" s="98" t="n">
        <f aca="false">IF(Bookings!$E173="",-1,ROUND(Bookings!$E173*1440,0))</f>
        <v>-1</v>
      </c>
    </row>
    <row r="174" customFormat="false" ht="15" hidden="false" customHeight="false" outlineLevel="0" collapsed="false">
      <c r="Z174" s="0" t="str">
        <f aca="false">IF(Bookings!$C174="","",IFERROR(INDEX(RoomSeats,MATCH(Bookings!$C174,RoomList,0)),""))</f>
        <v/>
      </c>
      <c r="AA174" s="98" t="n">
        <f aca="false">IF(Bookings!$D174="",-1,ROUND(Bookings!$D174*1440,0))</f>
        <v>-1</v>
      </c>
      <c r="AB174" s="98" t="n">
        <f aca="false">IF(Bookings!$E174="",-1,ROUND(Bookings!$E174*1440,0))</f>
        <v>-1</v>
      </c>
    </row>
    <row r="175" customFormat="false" ht="15" hidden="false" customHeight="false" outlineLevel="0" collapsed="false">
      <c r="Z175" s="0" t="str">
        <f aca="false">IF(Bookings!$C175="","",IFERROR(INDEX(RoomSeats,MATCH(Bookings!$C175,RoomList,0)),""))</f>
        <v/>
      </c>
      <c r="AA175" s="98" t="n">
        <f aca="false">IF(Bookings!$D175="",-1,ROUND(Bookings!$D175*1440,0))</f>
        <v>-1</v>
      </c>
      <c r="AB175" s="98" t="n">
        <f aca="false">IF(Bookings!$E175="",-1,ROUND(Bookings!$E175*1440,0))</f>
        <v>-1</v>
      </c>
    </row>
    <row r="176" customFormat="false" ht="15" hidden="false" customHeight="false" outlineLevel="0" collapsed="false">
      <c r="Z176" s="0" t="str">
        <f aca="false">IF(Bookings!$C176="","",IFERROR(INDEX(RoomSeats,MATCH(Bookings!$C176,RoomList,0)),""))</f>
        <v/>
      </c>
      <c r="AA176" s="98" t="n">
        <f aca="false">IF(Bookings!$D176="",-1,ROUND(Bookings!$D176*1440,0))</f>
        <v>-1</v>
      </c>
      <c r="AB176" s="98" t="n">
        <f aca="false">IF(Bookings!$E176="",-1,ROUND(Bookings!$E176*1440,0))</f>
        <v>-1</v>
      </c>
    </row>
    <row r="177" customFormat="false" ht="15" hidden="false" customHeight="false" outlineLevel="0" collapsed="false">
      <c r="Z177" s="0" t="str">
        <f aca="false">IF(Bookings!$C177="","",IFERROR(INDEX(RoomSeats,MATCH(Bookings!$C177,RoomList,0)),""))</f>
        <v/>
      </c>
      <c r="AA177" s="98" t="n">
        <f aca="false">IF(Bookings!$D177="",-1,ROUND(Bookings!$D177*1440,0))</f>
        <v>-1</v>
      </c>
      <c r="AB177" s="98" t="n">
        <f aca="false">IF(Bookings!$E177="",-1,ROUND(Bookings!$E177*1440,0))</f>
        <v>-1</v>
      </c>
    </row>
    <row r="178" customFormat="false" ht="15" hidden="false" customHeight="false" outlineLevel="0" collapsed="false">
      <c r="Z178" s="0" t="str">
        <f aca="false">IF(Bookings!$C178="","",IFERROR(INDEX(RoomSeats,MATCH(Bookings!$C178,RoomList,0)),""))</f>
        <v/>
      </c>
      <c r="AA178" s="98" t="n">
        <f aca="false">IF(Bookings!$D178="",-1,ROUND(Bookings!$D178*1440,0))</f>
        <v>-1</v>
      </c>
      <c r="AB178" s="98" t="n">
        <f aca="false">IF(Bookings!$E178="",-1,ROUND(Bookings!$E178*1440,0))</f>
        <v>-1</v>
      </c>
    </row>
    <row r="179" customFormat="false" ht="15" hidden="false" customHeight="false" outlineLevel="0" collapsed="false">
      <c r="Z179" s="0" t="str">
        <f aca="false">IF(Bookings!$C179="","",IFERROR(INDEX(RoomSeats,MATCH(Bookings!$C179,RoomList,0)),""))</f>
        <v/>
      </c>
      <c r="AA179" s="98" t="n">
        <f aca="false">IF(Bookings!$D179="",-1,ROUND(Bookings!$D179*1440,0))</f>
        <v>-1</v>
      </c>
      <c r="AB179" s="98" t="n">
        <f aca="false">IF(Bookings!$E179="",-1,ROUND(Bookings!$E179*1440,0))</f>
        <v>-1</v>
      </c>
    </row>
    <row r="180" customFormat="false" ht="15" hidden="false" customHeight="false" outlineLevel="0" collapsed="false">
      <c r="Z180" s="0" t="str">
        <f aca="false">IF(Bookings!$C180="","",IFERROR(INDEX(RoomSeats,MATCH(Bookings!$C180,RoomList,0)),""))</f>
        <v/>
      </c>
      <c r="AA180" s="98" t="n">
        <f aca="false">IF(Bookings!$D180="",-1,ROUND(Bookings!$D180*1440,0))</f>
        <v>-1</v>
      </c>
      <c r="AB180" s="98" t="n">
        <f aca="false">IF(Bookings!$E180="",-1,ROUND(Bookings!$E180*1440,0))</f>
        <v>-1</v>
      </c>
    </row>
    <row r="181" customFormat="false" ht="15" hidden="false" customHeight="false" outlineLevel="0" collapsed="false">
      <c r="Z181" s="0" t="str">
        <f aca="false">IF(Bookings!$C181="","",IFERROR(INDEX(RoomSeats,MATCH(Bookings!$C181,RoomList,0)),""))</f>
        <v/>
      </c>
      <c r="AA181" s="98" t="n">
        <f aca="false">IF(Bookings!$D181="",-1,ROUND(Bookings!$D181*1440,0))</f>
        <v>-1</v>
      </c>
      <c r="AB181" s="98" t="n">
        <f aca="false">IF(Bookings!$E181="",-1,ROUND(Bookings!$E181*1440,0))</f>
        <v>-1</v>
      </c>
    </row>
    <row r="182" customFormat="false" ht="15" hidden="false" customHeight="false" outlineLevel="0" collapsed="false">
      <c r="Z182" s="0" t="str">
        <f aca="false">IF(Bookings!$C182="","",IFERROR(INDEX(RoomSeats,MATCH(Bookings!$C182,RoomList,0)),""))</f>
        <v/>
      </c>
      <c r="AA182" s="98" t="n">
        <f aca="false">IF(Bookings!$D182="",-1,ROUND(Bookings!$D182*1440,0))</f>
        <v>-1</v>
      </c>
      <c r="AB182" s="98" t="n">
        <f aca="false">IF(Bookings!$E182="",-1,ROUND(Bookings!$E182*1440,0))</f>
        <v>-1</v>
      </c>
    </row>
    <row r="183" customFormat="false" ht="15" hidden="false" customHeight="false" outlineLevel="0" collapsed="false">
      <c r="Z183" s="0" t="str">
        <f aca="false">IF(Bookings!$C183="","",IFERROR(INDEX(RoomSeats,MATCH(Bookings!$C183,RoomList,0)),""))</f>
        <v/>
      </c>
      <c r="AA183" s="98" t="n">
        <f aca="false">IF(Bookings!$D183="",-1,ROUND(Bookings!$D183*1440,0))</f>
        <v>-1</v>
      </c>
      <c r="AB183" s="98" t="n">
        <f aca="false">IF(Bookings!$E183="",-1,ROUND(Bookings!$E183*1440,0))</f>
        <v>-1</v>
      </c>
    </row>
    <row r="184" customFormat="false" ht="15" hidden="false" customHeight="false" outlineLevel="0" collapsed="false">
      <c r="Z184" s="0" t="str">
        <f aca="false">IF(Bookings!$C184="","",IFERROR(INDEX(RoomSeats,MATCH(Bookings!$C184,RoomList,0)),""))</f>
        <v/>
      </c>
      <c r="AA184" s="98" t="n">
        <f aca="false">IF(Bookings!$D184="",-1,ROUND(Bookings!$D184*1440,0))</f>
        <v>-1</v>
      </c>
      <c r="AB184" s="98" t="n">
        <f aca="false">IF(Bookings!$E184="",-1,ROUND(Bookings!$E184*1440,0))</f>
        <v>-1</v>
      </c>
    </row>
    <row r="185" customFormat="false" ht="15" hidden="false" customHeight="false" outlineLevel="0" collapsed="false">
      <c r="Z185" s="0" t="str">
        <f aca="false">IF(Bookings!$C185="","",IFERROR(INDEX(RoomSeats,MATCH(Bookings!$C185,RoomList,0)),""))</f>
        <v/>
      </c>
      <c r="AA185" s="98" t="n">
        <f aca="false">IF(Bookings!$D185="",-1,ROUND(Bookings!$D185*1440,0))</f>
        <v>-1</v>
      </c>
      <c r="AB185" s="98" t="n">
        <f aca="false">IF(Bookings!$E185="",-1,ROUND(Bookings!$E185*1440,0))</f>
        <v>-1</v>
      </c>
    </row>
    <row r="186" customFormat="false" ht="15" hidden="false" customHeight="false" outlineLevel="0" collapsed="false">
      <c r="Z186" s="0" t="str">
        <f aca="false">IF(Bookings!$C186="","",IFERROR(INDEX(RoomSeats,MATCH(Bookings!$C186,RoomList,0)),""))</f>
        <v/>
      </c>
      <c r="AA186" s="98" t="n">
        <f aca="false">IF(Bookings!$D186="",-1,ROUND(Bookings!$D186*1440,0))</f>
        <v>-1</v>
      </c>
      <c r="AB186" s="98" t="n">
        <f aca="false">IF(Bookings!$E186="",-1,ROUND(Bookings!$E186*1440,0))</f>
        <v>-1</v>
      </c>
    </row>
    <row r="187" customFormat="false" ht="15" hidden="false" customHeight="false" outlineLevel="0" collapsed="false">
      <c r="Z187" s="0" t="str">
        <f aca="false">IF(Bookings!$C187="","",IFERROR(INDEX(RoomSeats,MATCH(Bookings!$C187,RoomList,0)),""))</f>
        <v/>
      </c>
      <c r="AA187" s="98" t="n">
        <f aca="false">IF(Bookings!$D187="",-1,ROUND(Bookings!$D187*1440,0))</f>
        <v>-1</v>
      </c>
      <c r="AB187" s="98" t="n">
        <f aca="false">IF(Bookings!$E187="",-1,ROUND(Bookings!$E187*1440,0))</f>
        <v>-1</v>
      </c>
    </row>
    <row r="188" customFormat="false" ht="15" hidden="false" customHeight="false" outlineLevel="0" collapsed="false">
      <c r="Z188" s="0" t="str">
        <f aca="false">IF(Bookings!$C188="","",IFERROR(INDEX(RoomSeats,MATCH(Bookings!$C188,RoomList,0)),""))</f>
        <v/>
      </c>
      <c r="AA188" s="98" t="n">
        <f aca="false">IF(Bookings!$D188="",-1,ROUND(Bookings!$D188*1440,0))</f>
        <v>-1</v>
      </c>
      <c r="AB188" s="98" t="n">
        <f aca="false">IF(Bookings!$E188="",-1,ROUND(Bookings!$E188*1440,0))</f>
        <v>-1</v>
      </c>
    </row>
    <row r="189" customFormat="false" ht="15" hidden="false" customHeight="false" outlineLevel="0" collapsed="false">
      <c r="Z189" s="0" t="str">
        <f aca="false">IF(Bookings!$C189="","",IFERROR(INDEX(RoomSeats,MATCH(Bookings!$C189,RoomList,0)),""))</f>
        <v/>
      </c>
      <c r="AA189" s="98" t="n">
        <f aca="false">IF(Bookings!$D189="",-1,ROUND(Bookings!$D189*1440,0))</f>
        <v>-1</v>
      </c>
      <c r="AB189" s="98" t="n">
        <f aca="false">IF(Bookings!$E189="",-1,ROUND(Bookings!$E189*1440,0))</f>
        <v>-1</v>
      </c>
    </row>
    <row r="190" customFormat="false" ht="15" hidden="false" customHeight="false" outlineLevel="0" collapsed="false">
      <c r="Z190" s="0" t="str">
        <f aca="false">IF(Bookings!$C190="","",IFERROR(INDEX(RoomSeats,MATCH(Bookings!$C190,RoomList,0)),""))</f>
        <v/>
      </c>
      <c r="AA190" s="98" t="n">
        <f aca="false">IF(Bookings!$D190="",-1,ROUND(Bookings!$D190*1440,0))</f>
        <v>-1</v>
      </c>
      <c r="AB190" s="98" t="n">
        <f aca="false">IF(Bookings!$E190="",-1,ROUND(Bookings!$E190*1440,0))</f>
        <v>-1</v>
      </c>
    </row>
    <row r="191" customFormat="false" ht="15" hidden="false" customHeight="false" outlineLevel="0" collapsed="false">
      <c r="Z191" s="0" t="str">
        <f aca="false">IF(Bookings!$C191="","",IFERROR(INDEX(RoomSeats,MATCH(Bookings!$C191,RoomList,0)),""))</f>
        <v/>
      </c>
      <c r="AA191" s="98" t="n">
        <f aca="false">IF(Bookings!$D191="",-1,ROUND(Bookings!$D191*1440,0))</f>
        <v>-1</v>
      </c>
      <c r="AB191" s="98" t="n">
        <f aca="false">IF(Bookings!$E191="",-1,ROUND(Bookings!$E191*1440,0))</f>
        <v>-1</v>
      </c>
    </row>
    <row r="192" customFormat="false" ht="15" hidden="false" customHeight="false" outlineLevel="0" collapsed="false">
      <c r="Z192" s="0" t="str">
        <f aca="false">IF(Bookings!$C192="","",IFERROR(INDEX(RoomSeats,MATCH(Bookings!$C192,RoomList,0)),""))</f>
        <v/>
      </c>
      <c r="AA192" s="98" t="n">
        <f aca="false">IF(Bookings!$D192="",-1,ROUND(Bookings!$D192*1440,0))</f>
        <v>-1</v>
      </c>
      <c r="AB192" s="98" t="n">
        <f aca="false">IF(Bookings!$E192="",-1,ROUND(Bookings!$E192*1440,0))</f>
        <v>-1</v>
      </c>
    </row>
    <row r="193" customFormat="false" ht="15" hidden="false" customHeight="false" outlineLevel="0" collapsed="false">
      <c r="Z193" s="0" t="str">
        <f aca="false">IF(Bookings!$C193="","",IFERROR(INDEX(RoomSeats,MATCH(Bookings!$C193,RoomList,0)),""))</f>
        <v/>
      </c>
      <c r="AA193" s="98" t="n">
        <f aca="false">IF(Bookings!$D193="",-1,ROUND(Bookings!$D193*1440,0))</f>
        <v>-1</v>
      </c>
      <c r="AB193" s="98" t="n">
        <f aca="false">IF(Bookings!$E193="",-1,ROUND(Bookings!$E193*1440,0))</f>
        <v>-1</v>
      </c>
    </row>
    <row r="194" customFormat="false" ht="15" hidden="false" customHeight="false" outlineLevel="0" collapsed="false">
      <c r="Z194" s="0" t="str">
        <f aca="false">IF(Bookings!$C194="","",IFERROR(INDEX(RoomSeats,MATCH(Bookings!$C194,RoomList,0)),""))</f>
        <v/>
      </c>
      <c r="AA194" s="98" t="n">
        <f aca="false">IF(Bookings!$D194="",-1,ROUND(Bookings!$D194*1440,0))</f>
        <v>-1</v>
      </c>
      <c r="AB194" s="98" t="n">
        <f aca="false">IF(Bookings!$E194="",-1,ROUND(Bookings!$E194*1440,0))</f>
        <v>-1</v>
      </c>
    </row>
    <row r="195" customFormat="false" ht="15" hidden="false" customHeight="false" outlineLevel="0" collapsed="false">
      <c r="Z195" s="0" t="str">
        <f aca="false">IF(Bookings!$C195="","",IFERROR(INDEX(RoomSeats,MATCH(Bookings!$C195,RoomList,0)),""))</f>
        <v/>
      </c>
      <c r="AA195" s="98" t="n">
        <f aca="false">IF(Bookings!$D195="",-1,ROUND(Bookings!$D195*1440,0))</f>
        <v>-1</v>
      </c>
      <c r="AB195" s="98" t="n">
        <f aca="false">IF(Bookings!$E195="",-1,ROUND(Bookings!$E195*1440,0))</f>
        <v>-1</v>
      </c>
    </row>
    <row r="196" customFormat="false" ht="15" hidden="false" customHeight="false" outlineLevel="0" collapsed="false">
      <c r="Z196" s="0" t="str">
        <f aca="false">IF(Bookings!$C196="","",IFERROR(INDEX(RoomSeats,MATCH(Bookings!$C196,RoomList,0)),""))</f>
        <v/>
      </c>
      <c r="AA196" s="98" t="n">
        <f aca="false">IF(Bookings!$D196="",-1,ROUND(Bookings!$D196*1440,0))</f>
        <v>-1</v>
      </c>
      <c r="AB196" s="98" t="n">
        <f aca="false">IF(Bookings!$E196="",-1,ROUND(Bookings!$E196*1440,0))</f>
        <v>-1</v>
      </c>
    </row>
    <row r="197" customFormat="false" ht="15" hidden="false" customHeight="false" outlineLevel="0" collapsed="false">
      <c r="Z197" s="0" t="str">
        <f aca="false">IF(Bookings!$C197="","",IFERROR(INDEX(RoomSeats,MATCH(Bookings!$C197,RoomList,0)),""))</f>
        <v/>
      </c>
      <c r="AA197" s="98" t="n">
        <f aca="false">IF(Bookings!$D197="",-1,ROUND(Bookings!$D197*1440,0))</f>
        <v>-1</v>
      </c>
      <c r="AB197" s="98" t="n">
        <f aca="false">IF(Bookings!$E197="",-1,ROUND(Bookings!$E197*1440,0))</f>
        <v>-1</v>
      </c>
    </row>
    <row r="198" customFormat="false" ht="15" hidden="false" customHeight="false" outlineLevel="0" collapsed="false">
      <c r="Z198" s="0" t="str">
        <f aca="false">IF(Bookings!$C198="","",IFERROR(INDEX(RoomSeats,MATCH(Bookings!$C198,RoomList,0)),""))</f>
        <v/>
      </c>
      <c r="AA198" s="98" t="n">
        <f aca="false">IF(Bookings!$D198="",-1,ROUND(Bookings!$D198*1440,0))</f>
        <v>-1</v>
      </c>
      <c r="AB198" s="98" t="n">
        <f aca="false">IF(Bookings!$E198="",-1,ROUND(Bookings!$E198*1440,0))</f>
        <v>-1</v>
      </c>
    </row>
    <row r="199" customFormat="false" ht="15" hidden="false" customHeight="false" outlineLevel="0" collapsed="false">
      <c r="Z199" s="0" t="str">
        <f aca="false">IF(Bookings!$C199="","",IFERROR(INDEX(RoomSeats,MATCH(Bookings!$C199,RoomList,0)),""))</f>
        <v/>
      </c>
      <c r="AA199" s="98" t="n">
        <f aca="false">IF(Bookings!$D199="",-1,ROUND(Bookings!$D199*1440,0))</f>
        <v>-1</v>
      </c>
      <c r="AB199" s="98" t="n">
        <f aca="false">IF(Bookings!$E199="",-1,ROUND(Bookings!$E199*1440,0))</f>
        <v>-1</v>
      </c>
    </row>
    <row r="200" customFormat="false" ht="15" hidden="false" customHeight="false" outlineLevel="0" collapsed="false">
      <c r="Z200" s="0" t="str">
        <f aca="false">IF(Bookings!$C200="","",IFERROR(INDEX(RoomSeats,MATCH(Bookings!$C200,RoomList,0)),""))</f>
        <v/>
      </c>
      <c r="AA200" s="98" t="n">
        <f aca="false">IF(Bookings!$D200="",-1,ROUND(Bookings!$D200*1440,0))</f>
        <v>-1</v>
      </c>
      <c r="AB200" s="98" t="n">
        <f aca="false">IF(Bookings!$E200="",-1,ROUND(Bookings!$E200*1440,0))</f>
        <v>-1</v>
      </c>
    </row>
    <row r="201" customFormat="false" ht="15" hidden="false" customHeight="false" outlineLevel="0" collapsed="false">
      <c r="Z201" s="0" t="str">
        <f aca="false">IF(Bookings!$C201="","",IFERROR(INDEX(RoomSeats,MATCH(Bookings!$C201,RoomList,0)),""))</f>
        <v/>
      </c>
      <c r="AA201" s="98" t="n">
        <f aca="false">IF(Bookings!$D201="",-1,ROUND(Bookings!$D201*1440,0))</f>
        <v>-1</v>
      </c>
      <c r="AB201" s="98" t="n">
        <f aca="false">IF(Bookings!$E201="",-1,ROUND(Bookings!$E201*1440,0))</f>
        <v>-1</v>
      </c>
    </row>
    <row r="202" customFormat="false" ht="15" hidden="false" customHeight="false" outlineLevel="0" collapsed="false">
      <c r="Z202" s="0" t="str">
        <f aca="false">IF(Bookings!$C202="","",IFERROR(INDEX(RoomSeats,MATCH(Bookings!$C202,RoomList,0)),""))</f>
        <v/>
      </c>
      <c r="AA202" s="98" t="n">
        <f aca="false">IF(Bookings!$D202="",-1,ROUND(Bookings!$D202*1440,0))</f>
        <v>-1</v>
      </c>
      <c r="AB202" s="98" t="n">
        <f aca="false">IF(Bookings!$E202="",-1,ROUND(Bookings!$E202*1440,0))</f>
        <v>-1</v>
      </c>
    </row>
    <row r="203" customFormat="false" ht="15" hidden="false" customHeight="false" outlineLevel="0" collapsed="false">
      <c r="Z203" s="0" t="str">
        <f aca="false">IF(Bookings!$C203="","",IFERROR(INDEX(RoomSeats,MATCH(Bookings!$C203,RoomList,0)),""))</f>
        <v/>
      </c>
      <c r="AA203" s="98" t="n">
        <f aca="false">IF(Bookings!$D203="",-1,ROUND(Bookings!$D203*1440,0))</f>
        <v>-1</v>
      </c>
      <c r="AB203" s="98" t="n">
        <f aca="false">IF(Bookings!$E203="",-1,ROUND(Bookings!$E203*1440,0))</f>
        <v>-1</v>
      </c>
    </row>
    <row r="204" customFormat="false" ht="15" hidden="false" customHeight="false" outlineLevel="0" collapsed="false">
      <c r="Z204" s="0" t="str">
        <f aca="false">IF(Bookings!$C204="","",IFERROR(INDEX(RoomSeats,MATCH(Bookings!$C204,RoomList,0)),""))</f>
        <v/>
      </c>
      <c r="AA204" s="98" t="n">
        <f aca="false">IF(Bookings!$D204="",-1,ROUND(Bookings!$D204*1440,0))</f>
        <v>-1</v>
      </c>
      <c r="AB204" s="98" t="n">
        <f aca="false">IF(Bookings!$E204="",-1,ROUND(Bookings!$E204*1440,0))</f>
        <v>-1</v>
      </c>
    </row>
    <row r="205" customFormat="false" ht="15" hidden="false" customHeight="false" outlineLevel="0" collapsed="false">
      <c r="Z205" s="0" t="str">
        <f aca="false">IF(Bookings!$C205="","",IFERROR(INDEX(RoomSeats,MATCH(Bookings!$C205,RoomList,0)),""))</f>
        <v/>
      </c>
      <c r="AA205" s="98" t="n">
        <f aca="false">IF(Bookings!$D205="",-1,ROUND(Bookings!$D205*1440,0))</f>
        <v>-1</v>
      </c>
      <c r="AB205" s="98" t="n">
        <f aca="false">IF(Bookings!$E205="",-1,ROUND(Bookings!$E205*1440,0))</f>
        <v>-1</v>
      </c>
    </row>
    <row r="206" customFormat="false" ht="15" hidden="false" customHeight="false" outlineLevel="0" collapsed="false">
      <c r="Z206" s="0" t="str">
        <f aca="false">IF(Bookings!$C206="","",IFERROR(INDEX(RoomSeats,MATCH(Bookings!$C206,RoomList,0)),""))</f>
        <v/>
      </c>
      <c r="AA206" s="98" t="n">
        <f aca="false">IF(Bookings!$D206="",-1,ROUND(Bookings!$D206*1440,0))</f>
        <v>-1</v>
      </c>
      <c r="AB206" s="98" t="n">
        <f aca="false">IF(Bookings!$E206="",-1,ROUND(Bookings!$E206*1440,0))</f>
        <v>-1</v>
      </c>
    </row>
    <row r="207" customFormat="false" ht="15" hidden="false" customHeight="false" outlineLevel="0" collapsed="false">
      <c r="Z207" s="0" t="str">
        <f aca="false">IF(Bookings!$C207="","",IFERROR(INDEX(RoomSeats,MATCH(Bookings!$C207,RoomList,0)),""))</f>
        <v/>
      </c>
      <c r="AA207" s="98" t="n">
        <f aca="false">IF(Bookings!$D207="",-1,ROUND(Bookings!$D207*1440,0))</f>
        <v>-1</v>
      </c>
      <c r="AB207" s="98" t="n">
        <f aca="false">IF(Bookings!$E207="",-1,ROUND(Bookings!$E207*1440,0))</f>
        <v>-1</v>
      </c>
    </row>
    <row r="208" customFormat="false" ht="15" hidden="false" customHeight="false" outlineLevel="0" collapsed="false">
      <c r="Z208" s="0" t="str">
        <f aca="false">IF(Bookings!$C208="","",IFERROR(INDEX(RoomSeats,MATCH(Bookings!$C208,RoomList,0)),""))</f>
        <v/>
      </c>
      <c r="AA208" s="98" t="n">
        <f aca="false">IF(Bookings!$D208="",-1,ROUND(Bookings!$D208*1440,0))</f>
        <v>-1</v>
      </c>
      <c r="AB208" s="98" t="n">
        <f aca="false">IF(Bookings!$E208="",-1,ROUND(Bookings!$E208*1440,0))</f>
        <v>-1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2026-08-07T07:04:44Z</dcterms:created>
  <dc:creator>openpyxl</dc:creator>
  <dc:description/>
  <dc:language>en-US</dc:language>
  <cp:lastModifiedBy/>
  <dcterms:modified xsi:type="dcterms:W3CDTF">2026-08-07T07:04:44Z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